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7965" activeTab="4"/>
  </bookViews>
  <sheets>
    <sheet name="singles" sheetId="1" r:id="rId1"/>
    <sheet name="pairs" sheetId="2" r:id="rId2"/>
    <sheet name="triples" sheetId="3" r:id="rId3"/>
    <sheet name="fours" sheetId="4" r:id="rId4"/>
    <sheet name="team" sheetId="5" r:id="rId5"/>
  </sheets>
  <definedNames>
    <definedName name="g01order" localSheetId="3">'fours'!$CJ$8:$CJ$17</definedName>
    <definedName name="g01order" localSheetId="1">'pairs'!$CJ$8:$CJ$17</definedName>
    <definedName name="g01order" localSheetId="0">'singles'!$CJ$8:$CJ$17</definedName>
    <definedName name="g01order" localSheetId="2">'triples'!$CJ$8:$CJ$17</definedName>
    <definedName name="g01table" localSheetId="3">'fours'!$CB$8:$CI$17</definedName>
    <definedName name="g01table" localSheetId="1">'pairs'!$CB$8:$CI$17</definedName>
    <definedName name="g01table" localSheetId="0">'singles'!$CB$8:$CI$17</definedName>
    <definedName name="g01table" localSheetId="2">'triples'!$CB$8:$CI$17</definedName>
    <definedName name="g01tots1" localSheetId="3">'fours'!$CA$8:$CA$17</definedName>
    <definedName name="g01tots1" localSheetId="1">'pairs'!$CA$8:$CA$17</definedName>
    <definedName name="g01tots1" localSheetId="0">'singles'!$CA$8:$CA$17</definedName>
    <definedName name="g01tots1" localSheetId="2">'triples'!$CA$8:$CA$17</definedName>
    <definedName name="g01tots2" localSheetId="3">'fours'!$CR$8:$CR$17</definedName>
    <definedName name="g01tots2" localSheetId="1">'pairs'!$CR$8:$CR$17</definedName>
    <definedName name="g01tots2" localSheetId="0">'singles'!$CR$8:$CR$17</definedName>
    <definedName name="g01tots2" localSheetId="2">'triples'!$CR$8:$CR$17</definedName>
    <definedName name="pointsfordraw" localSheetId="3">'fours'!$CZ$4</definedName>
    <definedName name="pointsfordraw" localSheetId="1">'pairs'!$CZ$4</definedName>
    <definedName name="pointsfordraw" localSheetId="0">'singles'!$CZ$4</definedName>
    <definedName name="pointsfordraw" localSheetId="2">'triples'!$CZ$4</definedName>
    <definedName name="pointsforlose" localSheetId="3">'fours'!$CX$4</definedName>
    <definedName name="pointsforlose" localSheetId="1">'pairs'!$CX$4</definedName>
    <definedName name="pointsforlose" localSheetId="0">'singles'!$CX$4</definedName>
    <definedName name="pointsforlose" localSheetId="2">'triples'!$CX$4</definedName>
    <definedName name="pointsforwin" localSheetId="3">'fours'!$CV$4</definedName>
    <definedName name="pointsforwin" localSheetId="1">'pairs'!$CV$4</definedName>
    <definedName name="pointsforwin" localSheetId="0">'singles'!$CV$4</definedName>
    <definedName name="pointsforwin" localSheetId="2">'triples'!$CV$4</definedName>
    <definedName name="_xlnm.Print_Area" localSheetId="3">'fours'!$A$2:$CS$52</definedName>
    <definedName name="_xlnm.Print_Area" localSheetId="1">'pairs'!$A$2:$CS$52</definedName>
    <definedName name="_xlnm.Print_Area" localSheetId="0">'singles'!$A$2:$CS$52</definedName>
    <definedName name="_xlnm.Print_Area" localSheetId="4">'team'!$A$2:$X$57</definedName>
    <definedName name="_xlnm.Print_Area" localSheetId="2">'triples'!$A$2:$CS$52</definedName>
    <definedName name="ssg1.1" localSheetId="3">'fours'!$D$8:$D$12</definedName>
    <definedName name="ssg1.1" localSheetId="1">'pairs'!$D$8:$D$12</definedName>
    <definedName name="ssg1.1" localSheetId="0">'singles'!$D$8:$D$12</definedName>
    <definedName name="ssg1.1" localSheetId="2">'triples'!$D$8:$D$12</definedName>
    <definedName name="ssg1.2" localSheetId="3">'fours'!$E$8:$E$12</definedName>
    <definedName name="ssg1.2" localSheetId="1">'pairs'!$E$8:$E$12</definedName>
    <definedName name="ssg1.2" localSheetId="0">'singles'!$E$8:$E$12</definedName>
    <definedName name="ssg1.2" localSheetId="2">'triples'!$E$8:$E$12</definedName>
    <definedName name="ssg2.1" localSheetId="3">'fours'!$D$13:$D$17</definedName>
    <definedName name="ssg2.1" localSheetId="1">'pairs'!$D$13:$D$17</definedName>
    <definedName name="ssg2.1" localSheetId="0">'singles'!$D$13:$D$17</definedName>
    <definedName name="ssg2.1" localSheetId="2">'triples'!$D$13:$D$17</definedName>
    <definedName name="ssg2.2" localSheetId="3">'fours'!$E$13:$E$17</definedName>
    <definedName name="ssg2.2" localSheetId="1">'pairs'!$E$13:$E$17</definedName>
    <definedName name="ssg2.2" localSheetId="0">'singles'!$E$13:$E$17</definedName>
    <definedName name="ssg2.2" localSheetId="2">'triples'!$E$13:$E$17</definedName>
    <definedName name="ssg3.1" localSheetId="3">'fours'!$D$18:$D$22</definedName>
    <definedName name="ssg3.1" localSheetId="1">'pairs'!$D$18:$D$22</definedName>
    <definedName name="ssg3.1" localSheetId="0">'singles'!$D$18:$D$22</definedName>
    <definedName name="ssg3.1" localSheetId="2">'triples'!$D$18:$D$22</definedName>
    <definedName name="ssg3.2" localSheetId="3">'fours'!$E$18:$E$22</definedName>
    <definedName name="ssg3.2" localSheetId="1">'pairs'!$E$18:$E$22</definedName>
    <definedName name="ssg3.2" localSheetId="0">'singles'!$E$18:$E$22</definedName>
    <definedName name="ssg3.2" localSheetId="2">'triples'!$E$18:$E$22</definedName>
    <definedName name="ssg4.1" localSheetId="3">'fours'!$D$23:$D$27</definedName>
    <definedName name="ssg4.1" localSheetId="1">'pairs'!$D$23:$D$27</definedName>
    <definedName name="ssg4.1" localSheetId="0">'singles'!$D$23:$D$27</definedName>
    <definedName name="ssg4.1" localSheetId="2">'triples'!$D$23:$D$27</definedName>
    <definedName name="ssg4.2" localSheetId="3">'fours'!$E$23:$E$27</definedName>
    <definedName name="ssg4.2" localSheetId="1">'pairs'!$E$23:$E$27</definedName>
    <definedName name="ssg4.2" localSheetId="0">'singles'!$E$23:$E$27</definedName>
    <definedName name="ssg4.2" localSheetId="2">'triples'!$E$23:$E$27</definedName>
    <definedName name="ssg5.1" localSheetId="3">'fours'!$D$28:$D$32</definedName>
    <definedName name="ssg5.1" localSheetId="1">'pairs'!$D$28:$D$32</definedName>
    <definedName name="ssg5.1" localSheetId="0">'singles'!$D$28:$D$32</definedName>
    <definedName name="ssg5.1" localSheetId="2">'triples'!$D$28:$D$32</definedName>
    <definedName name="ssg5.2" localSheetId="3">'fours'!$E$28:$E$32</definedName>
    <definedName name="ssg5.2" localSheetId="1">'pairs'!$E$28:$E$32</definedName>
    <definedName name="ssg5.2" localSheetId="0">'singles'!$E$28:$E$32</definedName>
    <definedName name="ssg5.2" localSheetId="2">'triples'!$E$28:$E$32</definedName>
    <definedName name="ssg6.1" localSheetId="3">'fours'!$D$33:$D$37</definedName>
    <definedName name="ssg6.1" localSheetId="1">'pairs'!$D$33:$D$37</definedName>
    <definedName name="ssg6.1" localSheetId="0">'singles'!$D$33:$D$37</definedName>
    <definedName name="ssg6.1" localSheetId="2">'triples'!$D$33:$D$37</definedName>
    <definedName name="ssg6.2" localSheetId="3">'fours'!$E$33:$E$37</definedName>
    <definedName name="ssg6.2" localSheetId="1">'pairs'!$E$33:$E$37</definedName>
    <definedName name="ssg6.2" localSheetId="0">'singles'!$E$33:$E$37</definedName>
    <definedName name="ssg6.2" localSheetId="2">'triples'!$E$33:$E$37</definedName>
    <definedName name="ssg7.1" localSheetId="3">'fours'!$D$38:$D$42</definedName>
    <definedName name="ssg7.1" localSheetId="1">'pairs'!$D$38:$D$42</definedName>
    <definedName name="ssg7.1" localSheetId="0">'singles'!$D$38:$D$42</definedName>
    <definedName name="ssg7.1" localSheetId="2">'triples'!$D$38:$D$42</definedName>
    <definedName name="ssg7.2" localSheetId="3">'fours'!$E$38:$E$42</definedName>
    <definedName name="ssg7.2" localSheetId="1">'pairs'!$E$38:$E$42</definedName>
    <definedName name="ssg7.2" localSheetId="0">'singles'!$E$38:$E$42</definedName>
    <definedName name="ssg7.2" localSheetId="2">'triples'!$E$38:$E$42</definedName>
    <definedName name="ssg8.1" localSheetId="3">'fours'!$D$43:$D$47</definedName>
    <definedName name="ssg8.1" localSheetId="1">'pairs'!$D$43:$D$47</definedName>
    <definedName name="ssg8.1" localSheetId="0">'singles'!$D$43:$D$47</definedName>
    <definedName name="ssg8.1" localSheetId="2">'triples'!$D$43:$D$47</definedName>
    <definedName name="ssg8.2" localSheetId="3">'fours'!$E$43:$E$47</definedName>
    <definedName name="ssg8.2" localSheetId="1">'pairs'!$E$43:$E$47</definedName>
    <definedName name="ssg8.2" localSheetId="0">'singles'!$E$43:$E$47</definedName>
    <definedName name="ssg8.2" localSheetId="2">'triples'!$E$43:$E$47</definedName>
    <definedName name="ssg9.1" localSheetId="3">'fours'!$D$48:$D$52</definedName>
    <definedName name="ssg9.1" localSheetId="1">'pairs'!$D$48:$D$52</definedName>
    <definedName name="ssg9.1" localSheetId="0">'singles'!$D$48:$D$52</definedName>
    <definedName name="ssg9.1" localSheetId="2">'triples'!$D$48:$D$52</definedName>
    <definedName name="ssg9.2" localSheetId="3">'fours'!$E$48:$E$52</definedName>
    <definedName name="ssg9.2" localSheetId="1">'pairs'!$E$48:$E$52</definedName>
    <definedName name="ssg9.2" localSheetId="0">'singles'!$E$48:$E$52</definedName>
    <definedName name="ssg9.2" localSheetId="2">'triples'!$E$48:$E$52</definedName>
    <definedName name="ssnums" localSheetId="3">'fours'!$A$8:$A$17</definedName>
    <definedName name="ssnums" localSheetId="1">'pairs'!$A$8:$A$17</definedName>
    <definedName name="ssnums" localSheetId="0">'singles'!$A$8:$A$17</definedName>
    <definedName name="ssnums" localSheetId="2">'triples'!$A$8:$A$17</definedName>
    <definedName name="ssr1.1" localSheetId="3">'fours'!$L$8:$L$12</definedName>
    <definedName name="ssr1.1" localSheetId="1">'pairs'!$L$8:$L$12</definedName>
    <definedName name="ssr1.1" localSheetId="0">'singles'!$L$8:$L$12</definedName>
    <definedName name="ssr1.1" localSheetId="2">'triples'!$L$8:$L$12</definedName>
    <definedName name="ssr1.2" localSheetId="3">'fours'!$M$8:$M$12</definedName>
    <definedName name="ssr1.2" localSheetId="1">'pairs'!$M$8:$M$12</definedName>
    <definedName name="ssr1.2" localSheetId="0">'singles'!$M$8:$M$12</definedName>
    <definedName name="ssr1.2" localSheetId="2">'triples'!$M$8:$M$12</definedName>
    <definedName name="ssr2.1" localSheetId="3">'fours'!$L$13:$L$17</definedName>
    <definedName name="ssr2.1" localSheetId="1">'pairs'!$L$13:$L$17</definedName>
    <definedName name="ssr2.1" localSheetId="0">'singles'!$L$13:$L$17</definedName>
    <definedName name="ssr2.1" localSheetId="2">'triples'!$L$13:$L$17</definedName>
    <definedName name="ssr2.2" localSheetId="3">'fours'!$M$13:$M$17</definedName>
    <definedName name="ssr2.2" localSheetId="1">'pairs'!$M$13:$M$17</definedName>
    <definedName name="ssr2.2" localSheetId="0">'singles'!$M$13:$M$17</definedName>
    <definedName name="ssr2.2" localSheetId="2">'triples'!$M$13:$M$17</definedName>
    <definedName name="ssr3.1" localSheetId="3">'fours'!$L$18:$L$22</definedName>
    <definedName name="ssr3.1" localSheetId="1">'pairs'!$L$18:$L$22</definedName>
    <definedName name="ssr3.1" localSheetId="0">'singles'!$L$18:$L$22</definedName>
    <definedName name="ssr3.1" localSheetId="2">'triples'!$L$18:$L$22</definedName>
    <definedName name="ssr3.2" localSheetId="3">'fours'!$M$18:$M$22</definedName>
    <definedName name="ssr3.2" localSheetId="1">'pairs'!$M$18:$M$22</definedName>
    <definedName name="ssr3.2" localSheetId="0">'singles'!$M$18:$M$22</definedName>
    <definedName name="ssr3.2" localSheetId="2">'triples'!$M$18:$M$22</definedName>
    <definedName name="ssr4.1" localSheetId="3">'fours'!$L$23:$L$27</definedName>
    <definedName name="ssr4.1" localSheetId="1">'pairs'!$L$23:$L$27</definedName>
    <definedName name="ssr4.1" localSheetId="0">'singles'!$L$23:$L$27</definedName>
    <definedName name="ssr4.1" localSheetId="2">'triples'!$L$23:$L$27</definedName>
    <definedName name="ssr4.2" localSheetId="3">'fours'!$M$23:$M$27</definedName>
    <definedName name="ssr4.2" localSheetId="1">'pairs'!$M$23:$M$27</definedName>
    <definedName name="ssr4.2" localSheetId="0">'singles'!$M$23:$M$27</definedName>
    <definedName name="ssr4.2" localSheetId="2">'triples'!$M$23:$M$27</definedName>
    <definedName name="ssr5.1" localSheetId="3">'fours'!$L$28:$L$32</definedName>
    <definedName name="ssr5.1" localSheetId="1">'pairs'!$L$28:$L$32</definedName>
    <definedName name="ssr5.1" localSheetId="0">'singles'!$L$28:$L$32</definedName>
    <definedName name="ssr5.1" localSheetId="2">'triples'!$L$28:$L$32</definedName>
    <definedName name="ssr5.2" localSheetId="3">'fours'!$M$28:$M$32</definedName>
    <definedName name="ssr5.2" localSheetId="1">'pairs'!$M$28:$M$32</definedName>
    <definedName name="ssr5.2" localSheetId="0">'singles'!$M$28:$M$32</definedName>
    <definedName name="ssr5.2" localSheetId="2">'triples'!$M$28:$M$32</definedName>
    <definedName name="ssr6.1" localSheetId="3">'fours'!$L$33:$L$37</definedName>
    <definedName name="ssr6.1" localSheetId="1">'pairs'!$L$33:$L$37</definedName>
    <definedName name="ssr6.1" localSheetId="0">'singles'!$L$33:$L$37</definedName>
    <definedName name="ssr6.1" localSheetId="2">'triples'!$L$33:$L$37</definedName>
    <definedName name="ssr6.2" localSheetId="3">'fours'!$M$33:$M$37</definedName>
    <definedName name="ssr6.2" localSheetId="1">'pairs'!$M$33:$M$37</definedName>
    <definedName name="ssr6.2" localSheetId="0">'singles'!$M$33:$M$37</definedName>
    <definedName name="ssr6.2" localSheetId="2">'triples'!$M$33:$M$37</definedName>
    <definedName name="ssr7.1" localSheetId="3">'fours'!$L$38:$L$42</definedName>
    <definedName name="ssr7.1" localSheetId="1">'pairs'!$L$38:$L$42</definedName>
    <definedName name="ssr7.1" localSheetId="0">'singles'!$L$38:$L$42</definedName>
    <definedName name="ssr7.1" localSheetId="2">'triples'!$L$38:$L$42</definedName>
    <definedName name="ssr7.2" localSheetId="3">'fours'!$M$38:$M$42</definedName>
    <definedName name="ssr7.2" localSheetId="1">'pairs'!$M$38:$M$42</definedName>
    <definedName name="ssr7.2" localSheetId="0">'singles'!$M$38:$M$42</definedName>
    <definedName name="ssr7.2" localSheetId="2">'triples'!$M$38:$M$42</definedName>
    <definedName name="ssr8.1" localSheetId="3">'fours'!$L$43:$L$47</definedName>
    <definedName name="ssr8.1" localSheetId="1">'pairs'!$L$43:$L$47</definedName>
    <definedName name="ssr8.1" localSheetId="0">'singles'!$L$43:$L$47</definedName>
    <definedName name="ssr8.1" localSheetId="2">'triples'!$L$43:$L$47</definedName>
    <definedName name="ssr8.2" localSheetId="3">'fours'!$M$43:$M$47</definedName>
    <definedName name="ssr8.2" localSheetId="1">'pairs'!$M$43:$M$47</definedName>
    <definedName name="ssr8.2" localSheetId="0">'singles'!$M$43:$M$47</definedName>
    <definedName name="ssr8.2" localSheetId="2">'triples'!$M$43:$M$47</definedName>
    <definedName name="ssr9.1" localSheetId="3">'fours'!$L$48:$L$52</definedName>
    <definedName name="ssr9.1" localSheetId="1">'pairs'!$L$48:$L$52</definedName>
    <definedName name="ssr9.1" localSheetId="0">'singles'!$L$48:$L$52</definedName>
    <definedName name="ssr9.1" localSheetId="2">'triples'!$L$48:$L$52</definedName>
    <definedName name="ssr9.2" localSheetId="3">'fours'!$M$48:$M$52</definedName>
    <definedName name="ssr9.2" localSheetId="1">'pairs'!$M$48:$M$52</definedName>
    <definedName name="ssr9.2" localSheetId="0">'singles'!$M$48:$M$52</definedName>
    <definedName name="ssr9.2" localSheetId="2">'triples'!$M$48:$M$52</definedName>
    <definedName name="ssteams" localSheetId="3">'fours'!$B$8:$B$17</definedName>
    <definedName name="ssteams" localSheetId="1">'pairs'!$B$8:$B$17</definedName>
    <definedName name="ssteams" localSheetId="0">'singles'!$B$8:$B$17</definedName>
    <definedName name="ssteams" localSheetId="2">'triples'!$B$8:$B$17</definedName>
    <definedName name="teama1" localSheetId="3">'fours'!$B$8</definedName>
    <definedName name="teama1" localSheetId="1">'pairs'!$B$8</definedName>
    <definedName name="teama1" localSheetId="0">'singles'!$B$8</definedName>
    <definedName name="teama1" localSheetId="2">'triples'!$B$8</definedName>
    <definedName name="teama10" localSheetId="3">'fours'!$B$17</definedName>
    <definedName name="teama10" localSheetId="1">'pairs'!$B$17</definedName>
    <definedName name="teama10" localSheetId="0">'singles'!$B$17</definedName>
    <definedName name="teama10" localSheetId="2">'triples'!$B$17</definedName>
    <definedName name="teama2" localSheetId="3">'fours'!$B$9</definedName>
    <definedName name="teama2" localSheetId="1">'pairs'!$B$9</definedName>
    <definedName name="teama2" localSheetId="0">'singles'!$B$9</definedName>
    <definedName name="teama2" localSheetId="2">'triples'!$B$9</definedName>
    <definedName name="teama3" localSheetId="3">'fours'!$B$10</definedName>
    <definedName name="teama3" localSheetId="1">'pairs'!$B$10</definedName>
    <definedName name="teama3" localSheetId="0">'singles'!$B$10</definedName>
    <definedName name="teama3" localSheetId="2">'triples'!$B$10</definedName>
    <definedName name="teama4" localSheetId="3">'fours'!$B$11</definedName>
    <definedName name="teama4" localSheetId="1">'pairs'!$B$11</definedName>
    <definedName name="teama4" localSheetId="0">'singles'!$B$11</definedName>
    <definedName name="teama4" localSheetId="2">'triples'!$B$11</definedName>
    <definedName name="teama5" localSheetId="3">'fours'!$B$12</definedName>
    <definedName name="teama5" localSheetId="1">'pairs'!$B$12</definedName>
    <definedName name="teama5" localSheetId="0">'singles'!$B$12</definedName>
    <definedName name="teama5" localSheetId="2">'triples'!$B$12</definedName>
    <definedName name="teama6" localSheetId="3">'fours'!$B$13</definedName>
    <definedName name="teama6" localSheetId="1">'pairs'!$B$13</definedName>
    <definedName name="teama6" localSheetId="0">'singles'!$B$13</definedName>
    <definedName name="teama6" localSheetId="2">'triples'!$B$13</definedName>
    <definedName name="teama7" localSheetId="3">'fours'!$B$14</definedName>
    <definedName name="teama7" localSheetId="1">'pairs'!$B$14</definedName>
    <definedName name="teama7" localSheetId="0">'singles'!$B$14</definedName>
    <definedName name="teama7" localSheetId="2">'triples'!$B$14</definedName>
    <definedName name="teama8" localSheetId="3">'fours'!$B$15</definedName>
    <definedName name="teama8" localSheetId="1">'pairs'!$B$15</definedName>
    <definedName name="teama8" localSheetId="0">'singles'!$B$15</definedName>
    <definedName name="teama8" localSheetId="2">'triples'!$B$15</definedName>
    <definedName name="teama9" localSheetId="3">'fours'!$B$16</definedName>
    <definedName name="teama9" localSheetId="1">'pairs'!$B$16</definedName>
    <definedName name="teama9" localSheetId="0">'singles'!$B$16</definedName>
    <definedName name="teama9" localSheetId="2">'triples'!$B$16</definedName>
    <definedName name="teamorder" localSheetId="4">'team'!$P$8:$P$17</definedName>
    <definedName name="teamtab" localSheetId="4">'team'!$I$8:$O$17</definedName>
    <definedName name="teamtots1" localSheetId="4">'team'!$H$8:$H$17</definedName>
    <definedName name="teamtots2" localSheetId="4">'team'!$X$8:$X$17</definedName>
  </definedNames>
  <calcPr fullCalcOnLoad="1"/>
</workbook>
</file>

<file path=xl/sharedStrings.xml><?xml version="1.0" encoding="utf-8"?>
<sst xmlns="http://schemas.openxmlformats.org/spreadsheetml/2006/main" count="835" uniqueCount="81">
  <si>
    <t>h</t>
  </si>
  <si>
    <t>SINGLES</t>
  </si>
  <si>
    <t>ECBA</t>
  </si>
  <si>
    <t>Pts</t>
  </si>
  <si>
    <t>Champion of Champions</t>
  </si>
  <si>
    <t>Win</t>
  </si>
  <si>
    <t>Lose</t>
  </si>
  <si>
    <t>Draw</t>
  </si>
  <si>
    <t>TEAMS</t>
  </si>
  <si>
    <t>GAMES</t>
  </si>
  <si>
    <t>SHOTS</t>
  </si>
  <si>
    <t>POINTS</t>
  </si>
  <si>
    <t>RESULTS TABLE</t>
  </si>
  <si>
    <t>No.</t>
  </si>
  <si>
    <t>NAME</t>
  </si>
  <si>
    <t>Black</t>
  </si>
  <si>
    <t>Brown</t>
  </si>
  <si>
    <t>SCORES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</si>
  <si>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</si>
  <si>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</si>
  <si>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</si>
  <si>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</si>
  <si>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</si>
  <si>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</si>
  <si>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</si>
  <si>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</si>
  <si>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</si>
  <si>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For</t>
  </si>
  <si>
    <t>Against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</si>
  <si>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</si>
  <si>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</si>
  <si>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</si>
  <si>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</si>
  <si>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</si>
  <si>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</si>
  <si>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</si>
  <si>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</si>
  <si>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</si>
  <si>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Total</t>
  </si>
  <si>
    <t>F</t>
  </si>
  <si>
    <t>A</t>
  </si>
  <si>
    <t>B</t>
  </si>
  <si>
    <t>Pld</t>
  </si>
  <si>
    <t>No</t>
  </si>
  <si>
    <t>Ag.</t>
  </si>
  <si>
    <t>Rank</t>
  </si>
  <si>
    <t>Bonus</t>
  </si>
  <si>
    <t>v</t>
  </si>
  <si>
    <t>Durham</t>
  </si>
  <si>
    <t>Essex</t>
  </si>
  <si>
    <t>Hertfordshire</t>
  </si>
  <si>
    <t>Norfolk</t>
  </si>
  <si>
    <t>N'th Tyneside</t>
  </si>
  <si>
    <t>N'thumb'nd</t>
  </si>
  <si>
    <t>Suffolk</t>
  </si>
  <si>
    <t>Sunderland</t>
  </si>
  <si>
    <t>Pairs</t>
  </si>
  <si>
    <t>Triples</t>
  </si>
  <si>
    <t>Rinks of Four</t>
  </si>
  <si>
    <t>Singles</t>
  </si>
  <si>
    <t>Fours</t>
  </si>
  <si>
    <t>TEAM RESULTS TABLE</t>
  </si>
  <si>
    <t>County</t>
  </si>
  <si>
    <t>teamtots1</t>
  </si>
  <si>
    <t>rank</t>
  </si>
  <si>
    <t>team</t>
  </si>
  <si>
    <t>points</t>
  </si>
  <si>
    <t>for</t>
  </si>
  <si>
    <t>against</t>
  </si>
  <si>
    <t>bonus</t>
  </si>
  <si>
    <t>teamnum</t>
  </si>
  <si>
    <t>teamorder</t>
  </si>
  <si>
    <t>Points</t>
  </si>
  <si>
    <t>S'th Tyneside</t>
  </si>
  <si>
    <t>Cambridgeshire</t>
  </si>
  <si>
    <t>Shots</t>
  </si>
  <si>
    <t>ECBA Champion of Champions Team Result</t>
  </si>
  <si>
    <t>Saturday 11th and  Sunday 12th June 2011 at The Norbreck Castle Hotel, Blackpool</t>
  </si>
  <si>
    <t>North Tyneside</t>
  </si>
  <si>
    <t>South Tyneside</t>
  </si>
  <si>
    <t>Northumberland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</si>
</sst>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8"/>
      <name val="Calibri"/>
      <family val="2"/>
    </font>
    <font>
      <b/>
      <u val="single"/>
      <sz val="14"/>
      <name val="Arial"/>
      <family val="2"/>
    </font>
    <font>
      <u val="single"/>
      <sz val="14"/>
      <color indexed="8"/>
      <name val="Calibri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26"/>
      <color indexed="8"/>
      <name val="Calibri"/>
      <family val="2"/>
    </font>
    <font>
      <b/>
      <sz val="24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mbria"/>
      <family val="1"/>
    </font>
    <font>
      <b/>
      <sz val="26"/>
      <color indexed="9"/>
      <name val="Arial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20"/>
      <color indexed="9"/>
      <name val="Arial"/>
      <family val="2"/>
    </font>
    <font>
      <sz val="20"/>
      <color indexed="9"/>
      <name val="Calibri"/>
      <family val="2"/>
    </font>
    <font>
      <b/>
      <sz val="12"/>
      <color indexed="8"/>
      <name val="Arial"/>
      <family val="2"/>
    </font>
    <font>
      <sz val="20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Continuous" vertical="center" wrapText="1"/>
      <protection/>
    </xf>
    <xf numFmtId="0" fontId="1" fillId="0" borderId="0" xfId="0" applyFont="1" applyBorder="1" applyAlignment="1" applyProtection="1">
      <alignment horizontal="centerContinuous" vertical="center" wrapText="1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1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1" fontId="1" fillId="0" borderId="15" xfId="0" applyNumberFormat="1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left" vertical="center"/>
      <protection locked="0"/>
    </xf>
    <xf numFmtId="1" fontId="1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1" fontId="1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left" vertical="center"/>
      <protection locked="0"/>
    </xf>
    <xf numFmtId="1" fontId="1" fillId="0" borderId="18" xfId="0" applyNumberFormat="1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 wrapText="1"/>
    </xf>
    <xf numFmtId="0" fontId="12" fillId="0" borderId="2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1" fontId="1" fillId="0" borderId="24" xfId="0" applyNumberFormat="1" applyFont="1" applyBorder="1" applyAlignment="1" applyProtection="1">
      <alignment horizontal="center" vertical="center"/>
      <protection/>
    </xf>
    <xf numFmtId="1" fontId="1" fillId="0" borderId="26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1" fontId="1" fillId="0" borderId="20" xfId="0" applyNumberFormat="1" applyFont="1" applyBorder="1" applyAlignment="1" applyProtection="1">
      <alignment horizontal="center" vertical="center"/>
      <protection/>
    </xf>
    <xf numFmtId="1" fontId="1" fillId="0" borderId="19" xfId="0" applyNumberFormat="1" applyFont="1" applyBorder="1" applyAlignment="1" applyProtection="1">
      <alignment horizontal="center" vertical="center"/>
      <protection/>
    </xf>
    <xf numFmtId="1" fontId="1" fillId="0" borderId="23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right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horizontal="right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horizontal="right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Continuous" vertical="center"/>
      <protection/>
    </xf>
    <xf numFmtId="0" fontId="6" fillId="0" borderId="23" xfId="0" applyFont="1" applyBorder="1" applyAlignment="1" applyProtection="1">
      <alignment horizontal="centerContinuous" vertical="center"/>
      <protection/>
    </xf>
    <xf numFmtId="0" fontId="18" fillId="0" borderId="27" xfId="0" applyFont="1" applyBorder="1" applyAlignment="1" applyProtection="1">
      <alignment horizontal="centerContinuous" vertical="center"/>
      <protection/>
    </xf>
    <xf numFmtId="0" fontId="18" fillId="0" borderId="24" xfId="0" applyFont="1" applyBorder="1" applyAlignment="1" applyProtection="1">
      <alignment horizontal="centerContinuous" vertical="center"/>
      <protection/>
    </xf>
    <xf numFmtId="0" fontId="18" fillId="0" borderId="24" xfId="0" applyFont="1" applyBorder="1" applyAlignment="1" applyProtection="1">
      <alignment horizontal="right" vertical="center"/>
      <protection/>
    </xf>
    <xf numFmtId="0" fontId="18" fillId="0" borderId="18" xfId="0" applyFont="1" applyBorder="1" applyAlignment="1" applyProtection="1">
      <alignment horizontal="centerContinuous" vertical="center"/>
      <protection/>
    </xf>
    <xf numFmtId="0" fontId="18" fillId="0" borderId="20" xfId="0" applyFont="1" applyBorder="1" applyAlignment="1" applyProtection="1">
      <alignment horizontal="centerContinuous" vertical="center"/>
      <protection/>
    </xf>
    <xf numFmtId="0" fontId="5" fillId="24" borderId="0" xfId="0" applyFont="1" applyFill="1" applyAlignment="1">
      <alignment horizontal="center" vertical="center" wrapText="1"/>
    </xf>
    <xf numFmtId="0" fontId="6" fillId="8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1" fontId="9" fillId="0" borderId="29" xfId="0" applyNumberFormat="1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  <protection/>
    </xf>
    <xf numFmtId="0" fontId="25" fillId="4" borderId="0" xfId="0" applyFont="1" applyFill="1" applyAlignment="1" applyProtection="1">
      <alignment horizontal="center" vertical="center" wrapText="1"/>
      <protection/>
    </xf>
    <xf numFmtId="0" fontId="2" fillId="25" borderId="0" xfId="0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center" wrapText="1"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  <protection/>
    </xf>
    <xf numFmtId="0" fontId="25" fillId="7" borderId="0" xfId="0" applyFont="1" applyFill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25" fillId="8" borderId="0" xfId="0" applyFont="1" applyFill="1" applyAlignment="1" applyProtection="1">
      <alignment horizontal="center" vertical="center" wrapText="1"/>
      <protection/>
    </xf>
    <xf numFmtId="0" fontId="6" fillId="22" borderId="0" xfId="0" applyFont="1" applyFill="1" applyBorder="1" applyAlignment="1" applyProtection="1">
      <alignment horizontal="center" vertical="center" wrapText="1"/>
      <protection/>
    </xf>
    <xf numFmtId="0" fontId="25" fillId="22" borderId="0" xfId="0" applyFont="1" applyFill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20" fillId="0" borderId="35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center" vertical="center" wrapText="1"/>
      <protection/>
    </xf>
    <xf numFmtId="0" fontId="21" fillId="12" borderId="0" xfId="0" applyFont="1" applyFill="1" applyBorder="1" applyAlignment="1" applyProtection="1">
      <alignment horizontal="center" vertical="center" wrapText="1"/>
      <protection/>
    </xf>
    <xf numFmtId="0" fontId="22" fillId="12" borderId="0" xfId="0" applyFont="1" applyFill="1" applyBorder="1" applyAlignment="1">
      <alignment horizontal="center" vertical="center" wrapText="1"/>
    </xf>
    <xf numFmtId="0" fontId="24" fillId="12" borderId="0" xfId="0" applyFont="1" applyFill="1" applyAlignment="1">
      <alignment wrapText="1"/>
    </xf>
    <xf numFmtId="0" fontId="23" fillId="24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"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53"/>
  <sheetViews>
    <sheetView zoomScalePageLayoutView="0" workbookViewId="0" topLeftCell="K1">
      <selection activeCell="M50" sqref="M50"/>
    </sheetView>
  </sheetViews>
  <sheetFormatPr defaultColWidth="9.140625" defaultRowHeight="15"/>
  <cols>
    <col min="1" max="1" width="5.7109375" style="1" customWidth="1"/>
    <col min="2" max="2" width="20.7109375" style="1" customWidth="1"/>
    <col min="3" max="3" width="2.7109375" style="1" customWidth="1"/>
    <col min="4" max="5" width="18.00390625" style="1" hidden="1" customWidth="1"/>
    <col min="6" max="6" width="40.7109375" style="1" customWidth="1"/>
    <col min="7" max="7" width="2.8515625" style="1" hidden="1" customWidth="1"/>
    <col min="8" max="8" width="4.7109375" style="2" customWidth="1"/>
    <col min="9" max="9" width="2.7109375" style="2" customWidth="1"/>
    <col min="10" max="10" width="4.7109375" style="2" customWidth="1"/>
    <col min="11" max="11" width="2.7109375" style="1" customWidth="1"/>
    <col min="12" max="13" width="5.7109375" style="1" customWidth="1"/>
    <col min="14" max="14" width="2.7109375" style="1" customWidth="1"/>
    <col min="15" max="15" width="2.8515625" style="1" hidden="1" customWidth="1"/>
    <col min="16" max="17" width="4.421875" style="1" hidden="1" customWidth="1"/>
    <col min="18" max="19" width="2.8515625" style="1" hidden="1" customWidth="1"/>
    <col min="20" max="21" width="4.421875" style="1" hidden="1" customWidth="1"/>
    <col min="22" max="22" width="2.8515625" style="1" hidden="1" customWidth="1"/>
    <col min="23" max="23" width="4.421875" style="1" hidden="1" customWidth="1"/>
    <col min="24" max="25" width="2.8515625" style="1" hidden="1" customWidth="1"/>
    <col min="26" max="26" width="4.421875" style="1" hidden="1" customWidth="1"/>
    <col min="27" max="27" width="2.8515625" style="1" hidden="1" customWidth="1"/>
    <col min="28" max="29" width="4.421875" style="1" hidden="1" customWidth="1"/>
    <col min="30" max="31" width="2.8515625" style="1" hidden="1" customWidth="1"/>
    <col min="32" max="33" width="4.421875" style="1" hidden="1" customWidth="1"/>
    <col min="34" max="35" width="2.8515625" style="1" hidden="1" customWidth="1"/>
    <col min="36" max="37" width="4.421875" style="1" hidden="1" customWidth="1"/>
    <col min="38" max="39" width="2.8515625" style="1" hidden="1" customWidth="1"/>
    <col min="40" max="41" width="4.421875" style="1" hidden="1" customWidth="1"/>
    <col min="42" max="42" width="2.8515625" style="1" hidden="1" customWidth="1"/>
    <col min="43" max="43" width="4.421875" style="1" hidden="1" customWidth="1"/>
    <col min="44" max="45" width="2.8515625" style="1" hidden="1" customWidth="1"/>
    <col min="46" max="46" width="4.421875" style="1" hidden="1" customWidth="1"/>
    <col min="47" max="47" width="2.8515625" style="1" hidden="1" customWidth="1"/>
    <col min="48" max="49" width="4.421875" style="1" hidden="1" customWidth="1"/>
    <col min="50" max="50" width="2.8515625" style="1" hidden="1" customWidth="1"/>
    <col min="51" max="51" width="5.8515625" style="1" hidden="1" customWidth="1"/>
    <col min="52" max="52" width="11.28125" style="1" hidden="1" customWidth="1"/>
    <col min="53" max="55" width="2.7109375" style="1" hidden="1" customWidth="1"/>
    <col min="56" max="64" width="11.28125" style="1" hidden="1" customWidth="1"/>
    <col min="65" max="65" width="8.00390625" style="1" hidden="1" customWidth="1"/>
    <col min="66" max="67" width="2.7109375" style="1" hidden="1" customWidth="1"/>
    <col min="68" max="76" width="11.28125" style="1" hidden="1" customWidth="1"/>
    <col min="77" max="77" width="2.7109375" style="1" hidden="1" customWidth="1"/>
    <col min="78" max="78" width="2.8515625" style="1" hidden="1" customWidth="1"/>
    <col min="79" max="79" width="15.57421875" style="1" hidden="1" customWidth="1"/>
    <col min="80" max="80" width="4.421875" style="1" hidden="1" customWidth="1"/>
    <col min="81" max="81" width="18.00390625" style="1" hidden="1" customWidth="1"/>
    <col min="82" max="82" width="5.57421875" style="1" hidden="1" customWidth="1"/>
    <col min="83" max="84" width="4.421875" style="1" hidden="1" customWidth="1"/>
    <col min="85" max="85" width="3.28125" style="1" hidden="1" customWidth="1"/>
    <col min="86" max="86" width="4.421875" style="1" hidden="1" customWidth="1"/>
    <col min="87" max="87" width="5.57421875" style="1" hidden="1" customWidth="1"/>
    <col min="88" max="88" width="4.421875" style="1" hidden="1" customWidth="1"/>
    <col min="89" max="89" width="4.8515625" style="1" hidden="1" customWidth="1"/>
    <col min="90" max="90" width="20.7109375" style="1" customWidth="1"/>
    <col min="91" max="94" width="5.7109375" style="1" customWidth="1"/>
    <col min="95" max="95" width="2.7109375" style="1" customWidth="1"/>
    <col min="96" max="96" width="7.57421875" style="1" hidden="1" customWidth="1"/>
    <col min="97" max="97" width="7.7109375" style="1" customWidth="1"/>
    <col min="98" max="98" width="9.140625" style="1" customWidth="1"/>
    <col min="99" max="99" width="18.00390625" style="1" bestFit="1" customWidth="1"/>
    <col min="100" max="100" width="5.28125" style="1" bestFit="1" customWidth="1"/>
    <col min="101" max="101" width="7.8515625" style="1" bestFit="1" customWidth="1"/>
    <col min="102" max="102" width="5.28125" style="1" bestFit="1" customWidth="1"/>
    <col min="103" max="103" width="8.140625" style="1" bestFit="1" customWidth="1"/>
    <col min="104" max="104" width="5.28125" style="1" bestFit="1" customWidth="1"/>
    <col min="105" max="16384" width="9.140625" style="1" customWidth="1"/>
  </cols>
  <sheetData>
    <row r="1" spans="4:96" ht="18.75">
      <c r="D1" s="1" t="s">
        <v>0</v>
      </c>
      <c r="E1" s="1" t="s">
        <v>0</v>
      </c>
      <c r="G1" s="1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  <c r="Y1" s="3" t="s">
        <v>0</v>
      </c>
      <c r="Z1" s="3" t="s">
        <v>0</v>
      </c>
      <c r="AA1" s="3" t="s">
        <v>0</v>
      </c>
      <c r="AB1" s="3" t="s">
        <v>0</v>
      </c>
      <c r="AC1" s="3" t="s">
        <v>0</v>
      </c>
      <c r="AD1" s="3" t="s">
        <v>0</v>
      </c>
      <c r="AE1" s="3" t="s">
        <v>0</v>
      </c>
      <c r="AF1" s="3" t="s">
        <v>0</v>
      </c>
      <c r="AG1" s="3" t="s">
        <v>0</v>
      </c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 t="s">
        <v>0</v>
      </c>
      <c r="AQ1" s="3" t="s">
        <v>0</v>
      </c>
      <c r="AR1" s="3" t="s">
        <v>0</v>
      </c>
      <c r="AS1" s="3" t="s">
        <v>0</v>
      </c>
      <c r="AT1" s="3" t="s">
        <v>0</v>
      </c>
      <c r="AU1" s="3" t="s">
        <v>0</v>
      </c>
      <c r="AV1" s="3" t="s">
        <v>0</v>
      </c>
      <c r="AW1" s="3" t="s">
        <v>0</v>
      </c>
      <c r="AX1" s="3" t="s">
        <v>0</v>
      </c>
      <c r="AY1" s="3" t="s">
        <v>0</v>
      </c>
      <c r="AZ1" s="3" t="s">
        <v>0</v>
      </c>
      <c r="BA1" s="3" t="s">
        <v>0</v>
      </c>
      <c r="BB1" s="3" t="s">
        <v>0</v>
      </c>
      <c r="BC1" s="3" t="s">
        <v>0</v>
      </c>
      <c r="BD1" s="3" t="s">
        <v>0</v>
      </c>
      <c r="BE1" s="3" t="s">
        <v>0</v>
      </c>
      <c r="BF1" s="3" t="s">
        <v>0</v>
      </c>
      <c r="BG1" s="3" t="s">
        <v>0</v>
      </c>
      <c r="BH1" s="3" t="s">
        <v>0</v>
      </c>
      <c r="BI1" s="3" t="s">
        <v>0</v>
      </c>
      <c r="BJ1" s="3" t="s">
        <v>0</v>
      </c>
      <c r="BK1" s="3" t="s">
        <v>0</v>
      </c>
      <c r="BL1" s="3" t="s">
        <v>0</v>
      </c>
      <c r="BM1" s="3" t="s">
        <v>0</v>
      </c>
      <c r="BN1" s="4" t="s">
        <v>0</v>
      </c>
      <c r="BO1" s="4" t="s">
        <v>0</v>
      </c>
      <c r="BP1" s="4" t="s">
        <v>0</v>
      </c>
      <c r="BQ1" s="4" t="s">
        <v>0</v>
      </c>
      <c r="BR1" s="4" t="s">
        <v>0</v>
      </c>
      <c r="BS1" s="4" t="s">
        <v>0</v>
      </c>
      <c r="BT1" s="4" t="s">
        <v>0</v>
      </c>
      <c r="BU1" s="4" t="s">
        <v>0</v>
      </c>
      <c r="BV1" s="4" t="s">
        <v>0</v>
      </c>
      <c r="BW1" s="4" t="s">
        <v>0</v>
      </c>
      <c r="BX1" s="4" t="s">
        <v>0</v>
      </c>
      <c r="BY1" s="4" t="s">
        <v>0</v>
      </c>
      <c r="BZ1" s="4" t="s">
        <v>0</v>
      </c>
      <c r="CA1" s="4" t="s">
        <v>0</v>
      </c>
      <c r="CB1" s="4" t="s">
        <v>0</v>
      </c>
      <c r="CC1" s="4" t="s">
        <v>0</v>
      </c>
      <c r="CD1" s="4" t="s">
        <v>0</v>
      </c>
      <c r="CE1" s="4" t="s">
        <v>0</v>
      </c>
      <c r="CF1" s="4" t="s">
        <v>0</v>
      </c>
      <c r="CG1" s="4" t="s">
        <v>0</v>
      </c>
      <c r="CH1" s="4" t="s">
        <v>0</v>
      </c>
      <c r="CI1" s="4" t="s">
        <v>0</v>
      </c>
      <c r="CJ1" s="4" t="s">
        <v>0</v>
      </c>
      <c r="CK1" s="5" t="s">
        <v>0</v>
      </c>
      <c r="CR1" s="1" t="s">
        <v>0</v>
      </c>
    </row>
    <row r="2" spans="1:104" s="4" customFormat="1" ht="18.75">
      <c r="A2" s="117" t="s">
        <v>1</v>
      </c>
      <c r="B2" s="118"/>
      <c r="F2" s="119" t="s">
        <v>2</v>
      </c>
      <c r="G2" s="120"/>
      <c r="H2" s="120"/>
      <c r="I2" s="120"/>
      <c r="J2" s="120"/>
      <c r="K2" s="120"/>
      <c r="L2" s="120"/>
      <c r="M2" s="120"/>
      <c r="CL2" s="121" t="s">
        <v>77</v>
      </c>
      <c r="CM2" s="122"/>
      <c r="CN2" s="122"/>
      <c r="CO2" s="122"/>
      <c r="CP2" s="122"/>
      <c r="CQ2" s="122"/>
      <c r="CR2" s="122"/>
      <c r="CS2" s="122"/>
      <c r="CV2" s="4" t="s">
        <v>3</v>
      </c>
      <c r="CX2" s="4" t="s">
        <v>3</v>
      </c>
      <c r="CZ2" s="4" t="s">
        <v>3</v>
      </c>
    </row>
    <row r="3" spans="1:97" s="4" customFormat="1" ht="18.75">
      <c r="A3" s="117"/>
      <c r="B3" s="118"/>
      <c r="F3" s="119" t="s">
        <v>4</v>
      </c>
      <c r="G3" s="120"/>
      <c r="H3" s="120"/>
      <c r="I3" s="120"/>
      <c r="J3" s="120"/>
      <c r="K3" s="120"/>
      <c r="L3" s="120"/>
      <c r="M3" s="120"/>
      <c r="CL3" s="121"/>
      <c r="CM3" s="122"/>
      <c r="CN3" s="122"/>
      <c r="CO3" s="122"/>
      <c r="CP3" s="122"/>
      <c r="CQ3" s="122"/>
      <c r="CR3" s="122"/>
      <c r="CS3" s="122"/>
    </row>
    <row r="4" spans="1:104" s="4" customFormat="1" ht="18">
      <c r="A4" s="118"/>
      <c r="B4" s="11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Z4" s="6"/>
      <c r="CK4" s="5"/>
      <c r="CL4" s="122"/>
      <c r="CM4" s="122"/>
      <c r="CN4" s="122"/>
      <c r="CO4" s="122"/>
      <c r="CP4" s="122"/>
      <c r="CQ4" s="122"/>
      <c r="CR4" s="122"/>
      <c r="CS4" s="122"/>
      <c r="CU4" s="7" t="s">
        <v>5</v>
      </c>
      <c r="CV4" s="7">
        <v>2</v>
      </c>
      <c r="CW4" s="7" t="s">
        <v>6</v>
      </c>
      <c r="CX4" s="7">
        <v>0</v>
      </c>
      <c r="CY4" s="7" t="s">
        <v>7</v>
      </c>
      <c r="CZ4" s="7">
        <v>1</v>
      </c>
    </row>
    <row r="5" spans="1:104" s="10" customFormat="1" ht="19.5" thickBot="1">
      <c r="A5" s="8"/>
      <c r="B5" s="9"/>
      <c r="F5" s="11"/>
      <c r="H5" s="12"/>
      <c r="I5" s="12"/>
      <c r="J5" s="1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Z5" s="12"/>
      <c r="CK5" s="13"/>
      <c r="CL5" s="14"/>
      <c r="CM5" s="15"/>
      <c r="CN5" s="15"/>
      <c r="CO5" s="15"/>
      <c r="CP5" s="15"/>
      <c r="CQ5" s="15"/>
      <c r="CR5" s="15"/>
      <c r="CS5" s="15"/>
      <c r="CU5" s="16"/>
      <c r="CV5" s="16"/>
      <c r="CW5" s="16"/>
      <c r="CX5" s="16"/>
      <c r="CY5" s="16"/>
      <c r="CZ5" s="16"/>
    </row>
    <row r="6" spans="1:97" s="17" customFormat="1" ht="19.5" thickBot="1">
      <c r="A6" s="112" t="s">
        <v>8</v>
      </c>
      <c r="B6" s="113"/>
      <c r="F6" s="114" t="s">
        <v>9</v>
      </c>
      <c r="G6" s="115"/>
      <c r="H6" s="115"/>
      <c r="I6" s="115"/>
      <c r="J6" s="115"/>
      <c r="K6" s="115"/>
      <c r="L6" s="115"/>
      <c r="M6" s="116"/>
      <c r="O6" s="110"/>
      <c r="P6" s="110"/>
      <c r="Q6" s="111"/>
      <c r="R6" s="18"/>
      <c r="S6" s="110"/>
      <c r="T6" s="110"/>
      <c r="U6" s="111"/>
      <c r="V6" s="18"/>
      <c r="W6" s="110"/>
      <c r="X6" s="110"/>
      <c r="Y6" s="111"/>
      <c r="Z6" s="18"/>
      <c r="AA6" s="110"/>
      <c r="AB6" s="110"/>
      <c r="AC6" s="111"/>
      <c r="AD6" s="18"/>
      <c r="AY6" s="123" t="s">
        <v>10</v>
      </c>
      <c r="AZ6" s="123"/>
      <c r="BD6" s="123" t="s">
        <v>11</v>
      </c>
      <c r="BE6" s="123"/>
      <c r="BF6" s="123"/>
      <c r="BG6" s="124"/>
      <c r="BH6" s="19"/>
      <c r="BI6" s="19"/>
      <c r="BJ6" s="19"/>
      <c r="BK6" s="19"/>
      <c r="BL6" s="19"/>
      <c r="BM6" s="20"/>
      <c r="BN6" s="19"/>
      <c r="BO6" s="19"/>
      <c r="BP6" s="21" t="s">
        <v>10</v>
      </c>
      <c r="BQ6" s="22"/>
      <c r="BR6" s="22"/>
      <c r="BS6" s="23"/>
      <c r="BT6" s="23"/>
      <c r="BU6" s="23"/>
      <c r="BV6" s="23"/>
      <c r="BW6" s="23"/>
      <c r="BX6" s="23"/>
      <c r="BY6" s="23"/>
      <c r="CK6" s="24"/>
      <c r="CL6" s="125" t="s">
        <v>12</v>
      </c>
      <c r="CM6" s="126"/>
      <c r="CN6" s="126"/>
      <c r="CO6" s="126"/>
      <c r="CP6" s="126"/>
      <c r="CQ6" s="126"/>
      <c r="CR6" s="126"/>
      <c r="CS6" s="127"/>
    </row>
    <row r="7" spans="1:100" s="17" customFormat="1" ht="18.75" thickBot="1">
      <c r="A7" s="25" t="s">
        <v>13</v>
      </c>
      <c r="B7" s="26" t="s">
        <v>14</v>
      </c>
      <c r="D7" s="17" t="s">
        <v>15</v>
      </c>
      <c r="E7" s="17" t="s">
        <v>16</v>
      </c>
      <c r="F7" s="27"/>
      <c r="L7" s="109" t="s">
        <v>17</v>
      </c>
      <c r="M7" s="109"/>
      <c r="O7" s="28" t="s">
        <v>18</v>
      </c>
      <c r="P7" s="28"/>
      <c r="Q7" s="28"/>
      <c r="R7" s="28"/>
      <c r="S7" s="28" t="s">
        <v>19</v>
      </c>
      <c r="T7" s="28"/>
      <c r="U7" s="28"/>
      <c r="V7" s="28"/>
      <c r="W7" s="28" t="s">
        <v>20</v>
      </c>
      <c r="X7" s="28"/>
      <c r="Y7" s="28"/>
      <c r="Z7" s="28"/>
      <c r="AA7" s="28" t="s">
        <v>21</v>
      </c>
      <c r="AB7" s="28"/>
      <c r="AC7" s="28"/>
      <c r="AD7" s="28"/>
      <c r="AE7" s="28" t="s">
        <v>22</v>
      </c>
      <c r="AF7" s="28"/>
      <c r="AG7" s="28"/>
      <c r="AH7" s="28"/>
      <c r="AI7" s="28" t="s">
        <v>23</v>
      </c>
      <c r="AJ7" s="28"/>
      <c r="AK7" s="28"/>
      <c r="AL7" s="28"/>
      <c r="AM7" s="28" t="s">
        <v>24</v>
      </c>
      <c r="AN7" s="28"/>
      <c r="AO7" s="28"/>
      <c r="AP7" s="28"/>
      <c r="AQ7" s="28" t="s">
        <v>25</v>
      </c>
      <c r="AR7" s="28"/>
      <c r="AS7" s="28"/>
      <c r="AT7" s="28"/>
      <c r="AU7" s="28" t="s">
        <v>26</v>
      </c>
      <c r="AV7" s="28"/>
      <c r="AW7" s="28"/>
      <c r="AY7" s="17" t="s">
        <v>27</v>
      </c>
      <c r="AZ7" s="17" t="s">
        <v>28</v>
      </c>
      <c r="BD7" s="17" t="s">
        <v>29</v>
      </c>
      <c r="BE7" s="17" t="s">
        <v>30</v>
      </c>
      <c r="BF7" s="17" t="s">
        <v>31</v>
      </c>
      <c r="BG7" s="17" t="s">
        <v>32</v>
      </c>
      <c r="BH7" s="17" t="s">
        <v>33</v>
      </c>
      <c r="BI7" s="17" t="s">
        <v>34</v>
      </c>
      <c r="BJ7" s="17" t="s">
        <v>35</v>
      </c>
      <c r="BK7" s="17" t="s">
        <v>36</v>
      </c>
      <c r="BL7" s="17" t="s">
        <v>37</v>
      </c>
      <c r="BM7" s="20" t="s">
        <v>38</v>
      </c>
      <c r="BP7" s="17" t="s">
        <v>29</v>
      </c>
      <c r="BQ7" s="17" t="s">
        <v>30</v>
      </c>
      <c r="BR7" s="17" t="s">
        <v>31</v>
      </c>
      <c r="BS7" s="17" t="s">
        <v>32</v>
      </c>
      <c r="BT7" s="17" t="s">
        <v>33</v>
      </c>
      <c r="BU7" s="17" t="s">
        <v>34</v>
      </c>
      <c r="BV7" s="17" t="s">
        <v>35</v>
      </c>
      <c r="BW7" s="17" t="s">
        <v>36</v>
      </c>
      <c r="BX7" s="17" t="s">
        <v>37</v>
      </c>
      <c r="CD7" s="17" t="s">
        <v>3</v>
      </c>
      <c r="CE7" s="17" t="s">
        <v>39</v>
      </c>
      <c r="CF7" s="17" t="s">
        <v>40</v>
      </c>
      <c r="CG7" s="17" t="s">
        <v>41</v>
      </c>
      <c r="CI7" s="17" t="s">
        <v>42</v>
      </c>
      <c r="CK7" s="24" t="s">
        <v>43</v>
      </c>
      <c r="CL7" s="29"/>
      <c r="CM7" s="17" t="s">
        <v>42</v>
      </c>
      <c r="CN7" s="17" t="s">
        <v>3</v>
      </c>
      <c r="CO7" s="17" t="s">
        <v>27</v>
      </c>
      <c r="CP7" s="17" t="s">
        <v>44</v>
      </c>
      <c r="CS7" s="30" t="s">
        <v>45</v>
      </c>
      <c r="CU7" s="100" t="s">
        <v>46</v>
      </c>
      <c r="CV7" s="101"/>
    </row>
    <row r="8" spans="1:100" s="6" customFormat="1" ht="18.75">
      <c r="A8" s="31">
        <v>1</v>
      </c>
      <c r="B8" s="32" t="s">
        <v>74</v>
      </c>
      <c r="D8" s="6" t="str">
        <f aca="true" t="shared" si="0" ref="D8:D52">LOOKUP(H8,ssnums,ssteams)</f>
        <v>Hertfordshire</v>
      </c>
      <c r="E8" s="6" t="str">
        <f aca="true" t="shared" si="1" ref="E8:E52">LOOKUP(J8,ssnums,ssteams)</f>
        <v>Norfolk</v>
      </c>
      <c r="F8" s="74" t="str">
        <f>CONCATENATE(D8," v. ",E8)</f>
        <v>Hertfordshire v. Norfolk</v>
      </c>
      <c r="G8" s="75">
        <f>IF(ISNUMBER(SEARCH("0",F8)),1,2)</f>
        <v>2</v>
      </c>
      <c r="H8" s="76">
        <v>4</v>
      </c>
      <c r="I8" s="75" t="s">
        <v>47</v>
      </c>
      <c r="J8" s="77">
        <v>5</v>
      </c>
      <c r="K8" s="33"/>
      <c r="L8" s="83">
        <v>11</v>
      </c>
      <c r="M8" s="83">
        <v>3</v>
      </c>
      <c r="N8" s="34"/>
      <c r="O8" s="35">
        <f>SUMIF(ssg1.1,teama1,ssr1.1)</f>
        <v>0</v>
      </c>
      <c r="P8" s="35">
        <f>SUMIF(ssg1.2,teama1,ssr1.2)</f>
        <v>10</v>
      </c>
      <c r="Q8" s="35">
        <f>SUMIF(ssg1.1,teama1,ssr1.2)</f>
        <v>0</v>
      </c>
      <c r="R8" s="35">
        <f>SUMIF(ssg1.2,teama1,ssr1.1)</f>
        <v>3</v>
      </c>
      <c r="S8" s="35">
        <f>SUMIF(ssg2.1,teama1,ssr2.1)</f>
        <v>0</v>
      </c>
      <c r="T8" s="35">
        <f>SUMIF(ssg2.2,teama1,ssr2.2)</f>
        <v>12</v>
      </c>
      <c r="U8" s="35">
        <f>SUMIF(ssg2.1,teama1,ssr2.2)</f>
        <v>0</v>
      </c>
      <c r="V8" s="35">
        <f>SUMIF(ssg2.2,teama1,ssr2.1)</f>
        <v>6</v>
      </c>
      <c r="W8" s="35">
        <f>SUMIF(ssg3.1,teama1,ssr3.1)</f>
        <v>0</v>
      </c>
      <c r="X8" s="35">
        <f>SUMIF(ssg3.2,teama1,ssr3.2)</f>
        <v>13</v>
      </c>
      <c r="Y8" s="35">
        <f>SUMIF(ssg3.1,teama1,ssr3.2)</f>
        <v>0</v>
      </c>
      <c r="Z8" s="35">
        <f>SUMIF(ssg3.2,teama1,ssr3.1)</f>
        <v>7</v>
      </c>
      <c r="AA8" s="35">
        <f>SUMIF(ssg4.1,teama1,ssr4.1)</f>
        <v>0</v>
      </c>
      <c r="AB8" s="35">
        <f>SUMIF(ssg4.2,teama1,ssr4.2)</f>
        <v>10</v>
      </c>
      <c r="AC8" s="35">
        <f>SUMIF(ssg4.1,teama1,ssr4.2)</f>
        <v>0</v>
      </c>
      <c r="AD8" s="35">
        <f>SUMIF(ssg4.2,teama1,ssr4.1)</f>
        <v>2</v>
      </c>
      <c r="AE8" s="35">
        <f>SUMIF(ssg5.1,teama1,ssr5.1)</f>
        <v>0</v>
      </c>
      <c r="AF8" s="35">
        <f>SUMIF(ssg5.2,teama1,ssr5.2)</f>
        <v>7</v>
      </c>
      <c r="AG8" s="35">
        <f>SUMIF(ssg5.1,teama1,ssr5.2)</f>
        <v>0</v>
      </c>
      <c r="AH8" s="35">
        <f>SUMIF(ssg5.2,teama1,ssr5.1)</f>
        <v>8</v>
      </c>
      <c r="AI8" s="35">
        <f>SUMIF(ssg6.1,teama1,ssr6.1)</f>
        <v>0</v>
      </c>
      <c r="AJ8" s="35">
        <f>SUMIF(ssg6.2,teama1,ssr6.2)</f>
        <v>9</v>
      </c>
      <c r="AK8" s="35">
        <f>SUMIF(ssg6.1,teama1,ssr6.2)</f>
        <v>0</v>
      </c>
      <c r="AL8" s="35">
        <f>SUMIF(ssg6.2,teama1,ssr6.1)</f>
        <v>6</v>
      </c>
      <c r="AM8" s="35">
        <f>SUMIF(ssg7.1,teama1,ssr7.1)</f>
        <v>0</v>
      </c>
      <c r="AN8" s="35">
        <f>SUMIF(ssg7.2,teama1,ssr7.2)</f>
        <v>9</v>
      </c>
      <c r="AO8" s="35">
        <f>SUMIF(ssg7.1,teama1,ssr7.2)</f>
        <v>0</v>
      </c>
      <c r="AP8" s="35">
        <f>SUMIF(ssg7.2,teama1,ssr7.1)</f>
        <v>5</v>
      </c>
      <c r="AQ8" s="35">
        <f>SUMIF(ssg8.1,teama1,ssr8.1)</f>
        <v>0</v>
      </c>
      <c r="AR8" s="35">
        <f>SUMIF(ssg8.2,teama1,ssr8.2)</f>
        <v>7</v>
      </c>
      <c r="AS8" s="35">
        <f>SUMIF(ssg8.1,teama1,ssr8.2)</f>
        <v>0</v>
      </c>
      <c r="AT8" s="35">
        <f>SUMIF(ssg8.2,teama1,ssr8.1)</f>
        <v>9</v>
      </c>
      <c r="AU8" s="35">
        <f>SUMIF(ssg9.1,teama1,ssr9.1)</f>
        <v>10</v>
      </c>
      <c r="AV8" s="35">
        <f>SUMIF(ssg9.2,teama1,ssr9.2)</f>
        <v>0</v>
      </c>
      <c r="AW8" s="35">
        <f>SUMIF(ssg9.1,teama1,ssr9.2)</f>
        <v>5</v>
      </c>
      <c r="AX8" s="35">
        <f>SUMIF(ssg9.2,teama1,ssr9.1)</f>
        <v>0</v>
      </c>
      <c r="AY8" s="33">
        <f>O8+P8+S8+T8+W8+X8+AA8+AB8+AE8+AF8+AI8+AJ8+AM8+AN8+AQ8+AR8+AU8+AV8</f>
        <v>87</v>
      </c>
      <c r="AZ8" s="33">
        <f>Q8+R8+U8+V8+Y8+Z8+AC8+AD8+AG8+AH8+AK8+AL8+AO8+AP8+AS8+AT8+AW8+AX8</f>
        <v>51</v>
      </c>
      <c r="BD8" s="6">
        <f aca="true" t="shared" si="2" ref="BD8:BD17">IF(O8+P8=0,pointsforlose,IF(O8+P8=Q8+R8,pointsfordraw,IF(O8+P8&gt;Q8+R8,pointsforwin,pointsforlose)))</f>
        <v>2</v>
      </c>
      <c r="BE8" s="6">
        <f aca="true" t="shared" si="3" ref="BE8:BE17">IF(S8+T8=0,pointsforlose,IF(S8+T8=U8+V8,pointsfordraw,IF(S8+T8&gt;U8+V8,pointsforwin,pointsforlose)))</f>
        <v>2</v>
      </c>
      <c r="BF8" s="6">
        <f aca="true" t="shared" si="4" ref="BF8:BF17">IF(W8+X8=0,pointsforlose,IF(W8+X8=Y8+Z8,pointsfordraw,IF(W8+X8&gt;Y8+Z8,pointsforwin,pointsforlose)))</f>
        <v>2</v>
      </c>
      <c r="BG8" s="6">
        <f aca="true" t="shared" si="5" ref="BG8:BG17">IF(AA8+AB8=0,pointsforlose,IF(AA8+AB8=AC8+AD8,pointsfordraw,IF(AA8+AB8&gt;AC8+AD8,pointsforwin,pointsforlose)))</f>
        <v>2</v>
      </c>
      <c r="BH8" s="6">
        <f aca="true" t="shared" si="6" ref="BH8:BH17">IF(AE8+AF8=0,pointsforlose,IF(AE8+AF8=AG8+AH8,pointsfordraw,IF(AE8+AF8&gt;AG8+AH8,pointsforwin,pointsforlose)))</f>
        <v>0</v>
      </c>
      <c r="BI8" s="6">
        <f aca="true" t="shared" si="7" ref="BI8:BI17">IF(AI8+AJ8=0,pointsforlose,IF(AI8+AJ8=AK8+AL8,pointsfordraw,IF(AI8+AJ8&gt;AK8+AL8,pointsforwin,pointsforlose)))</f>
        <v>2</v>
      </c>
      <c r="BJ8" s="6">
        <f aca="true" t="shared" si="8" ref="BJ8:BJ17">IF(AM8+AN8=0,pointsforlose,IF(AM8+AN8=AO8+AP8,pointsfordraw,IF(AM8+AN8&gt;AO8+AP8,pointsforwin,pointsforlose)))</f>
        <v>2</v>
      </c>
      <c r="BK8" s="6">
        <f aca="true" t="shared" si="9" ref="BK8:BK17">IF(AQ8+AR8=0,pointsforlose,IF(AQ8+AR8=AS8+AT8,pointsfordraw,IF(AQ8+AR8&gt;AS8+AT8,pointsforwin,pointsforlose)))</f>
        <v>0</v>
      </c>
      <c r="BL8" s="6">
        <f aca="true" t="shared" si="10" ref="BL8:BL17">IF(AU8+AV8=0,pointsforlose,IF(AU8+AV8=AW8+AX8,pointsfordraw,IF(AU8+AV8&gt;AW8+AX8,pointsforwin,pointsforlose)))</f>
        <v>2</v>
      </c>
      <c r="BM8" s="33">
        <f>SUM(BD8:BL8)</f>
        <v>14</v>
      </c>
      <c r="BP8" s="33">
        <f>SUM(O8:R8)</f>
        <v>13</v>
      </c>
      <c r="BQ8" s="33">
        <f>SUM(S8:V8)</f>
        <v>18</v>
      </c>
      <c r="BR8" s="33">
        <f>SUM(W8:Z8)</f>
        <v>20</v>
      </c>
      <c r="BS8" s="33">
        <f>SUM(AA8:AD8)</f>
        <v>12</v>
      </c>
      <c r="BT8" s="33">
        <f>SUM(AE8:AH8)</f>
        <v>15</v>
      </c>
      <c r="BU8" s="33">
        <f>SUM(AI8:AL8)</f>
        <v>15</v>
      </c>
      <c r="BV8" s="33">
        <f>SUM(AM8:AP8)</f>
        <v>14</v>
      </c>
      <c r="BW8" s="33">
        <f>SUM(AQ8:AT8)</f>
        <v>16</v>
      </c>
      <c r="BX8" s="33">
        <f>SUM(AU8:AX8)</f>
        <v>15</v>
      </c>
      <c r="BY8" s="33"/>
      <c r="BZ8" s="33">
        <f aca="true" t="shared" si="11" ref="BZ8:BZ16">COUNTIF(BP8:BX8,"&gt;0")</f>
        <v>9</v>
      </c>
      <c r="CA8" s="6">
        <f aca="true" t="shared" si="12" ref="CA8:CA17">((((BM8*1000000)+(AY8*1000)+(AZ8-100)*-1)+CV8)*10)+CJ8</f>
        <v>140870491</v>
      </c>
      <c r="CB8" s="6">
        <f aca="true" t="shared" si="13" ref="CB8:CB17">RANK(CA8,g01tots1)</f>
        <v>1</v>
      </c>
      <c r="CC8" s="6" t="str">
        <f aca="true" t="shared" si="14" ref="CC8:CC17">B8</f>
        <v>Cambridgeshire</v>
      </c>
      <c r="CD8" s="6">
        <f>BM8</f>
        <v>14</v>
      </c>
      <c r="CE8" s="6">
        <f>AY8</f>
        <v>87</v>
      </c>
      <c r="CF8" s="6">
        <f>AZ8</f>
        <v>51</v>
      </c>
      <c r="CG8" s="6">
        <f>CV8</f>
        <v>0</v>
      </c>
      <c r="CH8" s="33">
        <f>A8</f>
        <v>1</v>
      </c>
      <c r="CI8" s="33">
        <f>BZ8</f>
        <v>9</v>
      </c>
      <c r="CJ8" s="6">
        <v>1</v>
      </c>
      <c r="CK8" s="36">
        <f aca="true" t="shared" si="15" ref="CK8:CK17">VLOOKUP(g01order,g01table,7,0)</f>
        <v>1</v>
      </c>
      <c r="CL8" s="37" t="str">
        <f aca="true" t="shared" si="16" ref="CL8:CL17">VLOOKUP(g01order,g01table,2,0)</f>
        <v>Cambridgeshire</v>
      </c>
      <c r="CM8" s="6">
        <f aca="true" t="shared" si="17" ref="CM8:CM17">VLOOKUP(g01order,g01table,8,0)</f>
        <v>9</v>
      </c>
      <c r="CN8" s="6">
        <f aca="true" t="shared" si="18" ref="CN8:CN17">VLOOKUP(g01order,g01table,3,0)</f>
        <v>14</v>
      </c>
      <c r="CO8" s="6">
        <f aca="true" t="shared" si="19" ref="CO8:CO17">VLOOKUP(g01order,g01table,4,0)</f>
        <v>87</v>
      </c>
      <c r="CP8" s="6">
        <f aca="true" t="shared" si="20" ref="CP8:CP17">VLOOKUP(g01order,g01table,5,0)</f>
        <v>51</v>
      </c>
      <c r="CQ8" s="6">
        <f aca="true" t="shared" si="21" ref="CQ8:CQ17">VLOOKUP(g01order,g01table,6,0)</f>
        <v>0</v>
      </c>
      <c r="CR8" s="6">
        <f aca="true" t="shared" si="22" ref="CR8:CR13">((((CN8*1000000)+(CO8*1000)+(CP8-100)*-1))*10)+CQ8</f>
        <v>140870490</v>
      </c>
      <c r="CS8" s="38">
        <f aca="true" t="shared" si="23" ref="CS8:CS13">RANK(CR8,g01tots2)</f>
        <v>1</v>
      </c>
      <c r="CU8" s="39" t="str">
        <f aca="true" t="shared" si="24" ref="CU8:CU13">B8</f>
        <v>Cambridgeshire</v>
      </c>
      <c r="CV8" s="40"/>
    </row>
    <row r="9" spans="1:100" s="6" customFormat="1" ht="18.75">
      <c r="A9" s="41">
        <v>2</v>
      </c>
      <c r="B9" s="42" t="s">
        <v>48</v>
      </c>
      <c r="D9" s="6" t="str">
        <f t="shared" si="0"/>
        <v>South Tyneside</v>
      </c>
      <c r="E9" s="6" t="str">
        <f t="shared" si="1"/>
        <v>Suffolk</v>
      </c>
      <c r="F9" s="78" t="str">
        <f aca="true" t="shared" si="25" ref="F9:F52">CONCATENATE(D9," v. ",E9)</f>
        <v>South Tyneside v. Suffolk</v>
      </c>
      <c r="G9" s="6">
        <f aca="true" t="shared" si="26" ref="G9:G52">IF(ISNUMBER(SEARCH("0",F9)),1,2)</f>
        <v>2</v>
      </c>
      <c r="H9" s="33">
        <v>8</v>
      </c>
      <c r="I9" s="6" t="s">
        <v>47</v>
      </c>
      <c r="J9" s="79">
        <v>9</v>
      </c>
      <c r="K9" s="33"/>
      <c r="L9" s="83">
        <v>2</v>
      </c>
      <c r="M9" s="83">
        <v>10</v>
      </c>
      <c r="N9" s="34"/>
      <c r="O9" s="35">
        <f>SUMIF(ssg1.1,teama2,ssr1.1)</f>
        <v>0</v>
      </c>
      <c r="P9" s="35">
        <f>SUMIF(ssg1.2,teama2,ssr1.2)</f>
        <v>16</v>
      </c>
      <c r="Q9" s="35">
        <f>SUMIF(ssg1.1,teama2,ssr1.2)</f>
        <v>0</v>
      </c>
      <c r="R9" s="35">
        <f>SUMIF(ssg1.2,teama2,ssr1.1)</f>
        <v>3</v>
      </c>
      <c r="S9" s="35">
        <f>SUMIF(ssg2.1,teama2,ssr2.1)</f>
        <v>0</v>
      </c>
      <c r="T9" s="35">
        <f>SUMIF(ssg2.2,teama2,ssr2.2)</f>
        <v>6</v>
      </c>
      <c r="U9" s="35">
        <f>SUMIF(ssg2.1,teama2,ssr2.2)</f>
        <v>0</v>
      </c>
      <c r="V9" s="35">
        <f>SUMIF(ssg2.2,teama2,ssr2.1)</f>
        <v>7</v>
      </c>
      <c r="W9" s="35">
        <f>SUMIF(ssg3.1,teama2,ssr3.1)</f>
        <v>0</v>
      </c>
      <c r="X9" s="35">
        <f>SUMIF(ssg3.2,teama2,ssr3.2)</f>
        <v>6</v>
      </c>
      <c r="Y9" s="35">
        <f>SUMIF(ssg3.1,teama2,ssr3.2)</f>
        <v>0</v>
      </c>
      <c r="Z9" s="35">
        <f>SUMIF(ssg3.2,teama2,ssr3.1)</f>
        <v>6</v>
      </c>
      <c r="AA9" s="35">
        <f>SUMIF(ssg4.1,teama2,ssr4.1)</f>
        <v>0</v>
      </c>
      <c r="AB9" s="35">
        <f>SUMIF(ssg4.2,teama2,ssr4.2)</f>
        <v>7</v>
      </c>
      <c r="AC9" s="35">
        <f>SUMIF(ssg4.1,teama2,ssr4.2)</f>
        <v>0</v>
      </c>
      <c r="AD9" s="35">
        <f>SUMIF(ssg4.2,teama2,ssr4.1)</f>
        <v>5</v>
      </c>
      <c r="AE9" s="35">
        <f>SUMIF(ssg5.1,teama2,ssr5.1)</f>
        <v>0</v>
      </c>
      <c r="AF9" s="35">
        <f>SUMIF(ssg5.2,teama2,ssr5.2)</f>
        <v>9</v>
      </c>
      <c r="AG9" s="35">
        <f>SUMIF(ssg5.1,teama2,ssr5.2)</f>
        <v>0</v>
      </c>
      <c r="AH9" s="35">
        <f>SUMIF(ssg5.2,teama2,ssr5.1)</f>
        <v>4</v>
      </c>
      <c r="AI9" s="35">
        <f>SUMIF(ssg6.1,teama2,ssr6.1)</f>
        <v>0</v>
      </c>
      <c r="AJ9" s="35">
        <f>SUMIF(ssg6.2,teama2,ssr6.2)</f>
        <v>11</v>
      </c>
      <c r="AK9" s="35">
        <f>SUMIF(ssg6.1,teama2,ssr6.2)</f>
        <v>0</v>
      </c>
      <c r="AL9" s="35">
        <f>SUMIF(ssg6.2,teama2,ssr6.1)</f>
        <v>4</v>
      </c>
      <c r="AM9" s="35">
        <f>SUMIF(ssg7.1,teama2,ssr7.1)</f>
        <v>0</v>
      </c>
      <c r="AN9" s="35">
        <f>SUMIF(ssg7.2,teama2,ssr7.2)</f>
        <v>15</v>
      </c>
      <c r="AO9" s="35">
        <f>SUMIF(ssg7.1,teama2,ssr7.2)</f>
        <v>0</v>
      </c>
      <c r="AP9" s="35">
        <f>SUMIF(ssg7.2,teama2,ssr7.1)</f>
        <v>6</v>
      </c>
      <c r="AQ9" s="35">
        <f>SUMIF(ssg8.1,teama2,ssr8.1)</f>
        <v>0</v>
      </c>
      <c r="AR9" s="35">
        <f>SUMIF(ssg8.2,teama2,ssr8.2)</f>
        <v>11</v>
      </c>
      <c r="AS9" s="35">
        <f>SUMIF(ssg8.1,teama2,ssr8.2)</f>
        <v>0</v>
      </c>
      <c r="AT9" s="35">
        <f>SUMIF(ssg8.2,teama2,ssr8.1)</f>
        <v>4</v>
      </c>
      <c r="AU9" s="35">
        <f>SUMIF(ssg9.1,teama2,ssr9.1)</f>
        <v>0</v>
      </c>
      <c r="AV9" s="35">
        <f>SUMIF(ssg9.2,teama2,ssr9.2)</f>
        <v>5</v>
      </c>
      <c r="AW9" s="35">
        <f>SUMIF(ssg9.1,teama2,ssr9.2)</f>
        <v>0</v>
      </c>
      <c r="AX9" s="35">
        <f>SUMIF(ssg9.2,teama2,ssr9.1)</f>
        <v>10</v>
      </c>
      <c r="AY9" s="33">
        <f aca="true" t="shared" si="27" ref="AY9:AY17">O9+P9+S9+T9+W9+X9+AA9+AB9+AE9+AF9+AI9+AJ9+AM9+AN9+AQ9+AR9+AU9+AV9</f>
        <v>86</v>
      </c>
      <c r="AZ9" s="33">
        <f aca="true" t="shared" si="28" ref="AZ9:AZ17">Q9+R9+U9+V9+Y9+Z9+AC9+AD9+AG9+AH9+AK9+AL9+AO9+AP9+AS9+AT9+AW9+AX9</f>
        <v>49</v>
      </c>
      <c r="BD9" s="6">
        <f t="shared" si="2"/>
        <v>2</v>
      </c>
      <c r="BE9" s="6">
        <f t="shared" si="3"/>
        <v>0</v>
      </c>
      <c r="BF9" s="6">
        <f t="shared" si="4"/>
        <v>1</v>
      </c>
      <c r="BG9" s="6">
        <f t="shared" si="5"/>
        <v>2</v>
      </c>
      <c r="BH9" s="6">
        <f t="shared" si="6"/>
        <v>2</v>
      </c>
      <c r="BI9" s="6">
        <f t="shared" si="7"/>
        <v>2</v>
      </c>
      <c r="BJ9" s="6">
        <f t="shared" si="8"/>
        <v>2</v>
      </c>
      <c r="BK9" s="6">
        <f t="shared" si="9"/>
        <v>2</v>
      </c>
      <c r="BL9" s="6">
        <f t="shared" si="10"/>
        <v>0</v>
      </c>
      <c r="BM9" s="33">
        <f aca="true" t="shared" si="29" ref="BM9:BM17">SUM(BD9:BL9)</f>
        <v>13</v>
      </c>
      <c r="BP9" s="33">
        <f aca="true" t="shared" si="30" ref="BP9:BP17">SUM(O9:R9)</f>
        <v>19</v>
      </c>
      <c r="BQ9" s="33">
        <f aca="true" t="shared" si="31" ref="BQ9:BQ17">SUM(S9:V9)</f>
        <v>13</v>
      </c>
      <c r="BR9" s="33">
        <f aca="true" t="shared" si="32" ref="BR9:BR17">SUM(W9:Z9)</f>
        <v>12</v>
      </c>
      <c r="BS9" s="33">
        <f aca="true" t="shared" si="33" ref="BS9:BS17">SUM(AA9:AD9)</f>
        <v>12</v>
      </c>
      <c r="BT9" s="33">
        <f aca="true" t="shared" si="34" ref="BT9:BT17">SUM(AE9:AH9)</f>
        <v>13</v>
      </c>
      <c r="BU9" s="33">
        <f aca="true" t="shared" si="35" ref="BU9:BU17">SUM(AI9:AL9)</f>
        <v>15</v>
      </c>
      <c r="BV9" s="33">
        <f aca="true" t="shared" si="36" ref="BV9:BV17">SUM(AM9:AP9)</f>
        <v>21</v>
      </c>
      <c r="BW9" s="33">
        <f aca="true" t="shared" si="37" ref="BW9:BW17">SUM(AQ9:AT9)</f>
        <v>15</v>
      </c>
      <c r="BX9" s="33">
        <f aca="true" t="shared" si="38" ref="BX9:BX17">SUM(AU9:AX9)</f>
        <v>15</v>
      </c>
      <c r="BY9" s="33"/>
      <c r="BZ9" s="33">
        <f t="shared" si="11"/>
        <v>9</v>
      </c>
      <c r="CA9" s="6">
        <f t="shared" si="12"/>
        <v>130860512</v>
      </c>
      <c r="CB9" s="6">
        <f t="shared" si="13"/>
        <v>2</v>
      </c>
      <c r="CC9" s="6" t="str">
        <f t="shared" si="14"/>
        <v>Durham</v>
      </c>
      <c r="CD9" s="6">
        <f aca="true" t="shared" si="39" ref="CD9:CD17">BM9</f>
        <v>13</v>
      </c>
      <c r="CE9" s="6">
        <f aca="true" t="shared" si="40" ref="CE9:CF17">AY9</f>
        <v>86</v>
      </c>
      <c r="CF9" s="6">
        <f t="shared" si="40"/>
        <v>49</v>
      </c>
      <c r="CG9" s="6">
        <f aca="true" t="shared" si="41" ref="CG9:CG17">CV9</f>
        <v>0</v>
      </c>
      <c r="CH9" s="33">
        <f aca="true" t="shared" si="42" ref="CH9:CH17">A9</f>
        <v>2</v>
      </c>
      <c r="CI9" s="33">
        <f aca="true" t="shared" si="43" ref="CI9:CI17">BZ9</f>
        <v>9</v>
      </c>
      <c r="CJ9" s="6">
        <v>2</v>
      </c>
      <c r="CK9" s="36">
        <f t="shared" si="15"/>
        <v>2</v>
      </c>
      <c r="CL9" s="37" t="str">
        <f t="shared" si="16"/>
        <v>Durham</v>
      </c>
      <c r="CM9" s="6">
        <f t="shared" si="17"/>
        <v>9</v>
      </c>
      <c r="CN9" s="6">
        <f t="shared" si="18"/>
        <v>13</v>
      </c>
      <c r="CO9" s="6">
        <f t="shared" si="19"/>
        <v>86</v>
      </c>
      <c r="CP9" s="6">
        <f t="shared" si="20"/>
        <v>49</v>
      </c>
      <c r="CQ9" s="6">
        <f t="shared" si="21"/>
        <v>0</v>
      </c>
      <c r="CR9" s="6">
        <f t="shared" si="22"/>
        <v>130860510</v>
      </c>
      <c r="CS9" s="38">
        <f t="shared" si="23"/>
        <v>2</v>
      </c>
      <c r="CU9" s="39" t="str">
        <f t="shared" si="24"/>
        <v>Durham</v>
      </c>
      <c r="CV9" s="40"/>
    </row>
    <row r="10" spans="1:100" s="6" customFormat="1" ht="18.75">
      <c r="A10" s="41">
        <v>3</v>
      </c>
      <c r="B10" s="42" t="s">
        <v>49</v>
      </c>
      <c r="D10" s="6" t="str">
        <f t="shared" si="0"/>
        <v>Essex</v>
      </c>
      <c r="E10" s="6" t="str">
        <f t="shared" si="1"/>
        <v>Sunderland</v>
      </c>
      <c r="F10" s="78" t="str">
        <f t="shared" si="25"/>
        <v>Essex v. Sunderland</v>
      </c>
      <c r="G10" s="6">
        <f t="shared" si="26"/>
        <v>2</v>
      </c>
      <c r="H10" s="33">
        <v>3</v>
      </c>
      <c r="I10" s="6" t="s">
        <v>47</v>
      </c>
      <c r="J10" s="79">
        <v>10</v>
      </c>
      <c r="K10" s="33"/>
      <c r="L10" s="83">
        <v>4</v>
      </c>
      <c r="M10" s="83">
        <v>9</v>
      </c>
      <c r="N10" s="34"/>
      <c r="O10" s="35">
        <f>SUMIF(ssg1.1,teama3,ssr1.1)</f>
        <v>4</v>
      </c>
      <c r="P10" s="35">
        <f>SUMIF(ssg1.2,teama3,ssr1.2)</f>
        <v>0</v>
      </c>
      <c r="Q10" s="35">
        <f>SUMIF(ssg1.1,teama3,ssr1.2)</f>
        <v>9</v>
      </c>
      <c r="R10" s="35">
        <f>SUMIF(ssg1.2,teama3,ssr1.1)</f>
        <v>0</v>
      </c>
      <c r="S10" s="35">
        <f>SUMIF(ssg2.1,teama3,ssr2.1)</f>
        <v>11</v>
      </c>
      <c r="T10" s="35">
        <f>SUMIF(ssg2.2,teama3,ssr2.2)</f>
        <v>0</v>
      </c>
      <c r="U10" s="35">
        <f>SUMIF(ssg2.1,teama3,ssr2.2)</f>
        <v>7</v>
      </c>
      <c r="V10" s="35">
        <f>SUMIF(ssg2.2,teama3,ssr2.1)</f>
        <v>0</v>
      </c>
      <c r="W10" s="35">
        <f>SUMIF(ssg3.1,teama3,ssr3.1)</f>
        <v>3</v>
      </c>
      <c r="X10" s="35">
        <f>SUMIF(ssg3.2,teama3,ssr3.2)</f>
        <v>0</v>
      </c>
      <c r="Y10" s="35">
        <f>SUMIF(ssg3.1,teama3,ssr3.2)</f>
        <v>12</v>
      </c>
      <c r="Z10" s="35">
        <f>SUMIF(ssg3.2,teama3,ssr3.1)</f>
        <v>0</v>
      </c>
      <c r="AA10" s="35">
        <f>SUMIF(ssg4.1,teama3,ssr4.1)</f>
        <v>7</v>
      </c>
      <c r="AB10" s="35">
        <f>SUMIF(ssg4.2,teama3,ssr4.2)</f>
        <v>0</v>
      </c>
      <c r="AC10" s="35">
        <f>SUMIF(ssg4.1,teama3,ssr4.2)</f>
        <v>6</v>
      </c>
      <c r="AD10" s="35">
        <f>SUMIF(ssg4.2,teama3,ssr4.1)</f>
        <v>0</v>
      </c>
      <c r="AE10" s="35">
        <f>SUMIF(ssg5.1,teama3,ssr5.1)</f>
        <v>8</v>
      </c>
      <c r="AF10" s="35">
        <f>SUMIF(ssg5.2,teama3,ssr5.2)</f>
        <v>0</v>
      </c>
      <c r="AG10" s="35">
        <f>SUMIF(ssg5.1,teama3,ssr5.2)</f>
        <v>7</v>
      </c>
      <c r="AH10" s="35">
        <f>SUMIF(ssg5.2,teama3,ssr5.1)</f>
        <v>0</v>
      </c>
      <c r="AI10" s="35">
        <f>SUMIF(ssg6.1,teama3,ssr6.1)</f>
        <v>4</v>
      </c>
      <c r="AJ10" s="35">
        <f>SUMIF(ssg6.2,teama3,ssr6.2)</f>
        <v>0</v>
      </c>
      <c r="AK10" s="35">
        <f>SUMIF(ssg6.1,teama3,ssr6.2)</f>
        <v>11</v>
      </c>
      <c r="AL10" s="35">
        <f>SUMIF(ssg6.2,teama3,ssr6.1)</f>
        <v>0</v>
      </c>
      <c r="AM10" s="35">
        <f>SUMIF(ssg7.1,teama3,ssr7.1)</f>
        <v>3</v>
      </c>
      <c r="AN10" s="35">
        <f>SUMIF(ssg7.2,teama3,ssr7.2)</f>
        <v>0</v>
      </c>
      <c r="AO10" s="35">
        <f>SUMIF(ssg7.1,teama3,ssr7.2)</f>
        <v>9</v>
      </c>
      <c r="AP10" s="35">
        <f>SUMIF(ssg7.2,teama3,ssr7.1)</f>
        <v>0</v>
      </c>
      <c r="AQ10" s="35">
        <f>SUMIF(ssg8.1,teama3,ssr8.1)</f>
        <v>12</v>
      </c>
      <c r="AR10" s="35">
        <f>SUMIF(ssg8.2,teama3,ssr8.2)</f>
        <v>0</v>
      </c>
      <c r="AS10" s="35">
        <f>SUMIF(ssg8.1,teama3,ssr8.2)</f>
        <v>3</v>
      </c>
      <c r="AT10" s="35">
        <f>SUMIF(ssg8.2,teama3,ssr8.1)</f>
        <v>0</v>
      </c>
      <c r="AU10" s="35">
        <f>SUMIF(ssg9.1,teama3,ssr9.1)</f>
        <v>6</v>
      </c>
      <c r="AV10" s="35">
        <f>SUMIF(ssg9.2,teama3,ssr9.2)</f>
        <v>0</v>
      </c>
      <c r="AW10" s="35">
        <f>SUMIF(ssg9.1,teama3,ssr9.2)</f>
        <v>9</v>
      </c>
      <c r="AX10" s="35">
        <f>SUMIF(ssg9.2,teama3,ssr9.1)</f>
        <v>0</v>
      </c>
      <c r="AY10" s="33">
        <f t="shared" si="27"/>
        <v>58</v>
      </c>
      <c r="AZ10" s="33">
        <f t="shared" si="28"/>
        <v>73</v>
      </c>
      <c r="BD10" s="6">
        <f t="shared" si="2"/>
        <v>0</v>
      </c>
      <c r="BE10" s="6">
        <f t="shared" si="3"/>
        <v>2</v>
      </c>
      <c r="BF10" s="6">
        <f t="shared" si="4"/>
        <v>0</v>
      </c>
      <c r="BG10" s="6">
        <f t="shared" si="5"/>
        <v>2</v>
      </c>
      <c r="BH10" s="6">
        <f t="shared" si="6"/>
        <v>2</v>
      </c>
      <c r="BI10" s="6">
        <f t="shared" si="7"/>
        <v>0</v>
      </c>
      <c r="BJ10" s="6">
        <f t="shared" si="8"/>
        <v>0</v>
      </c>
      <c r="BK10" s="6">
        <f t="shared" si="9"/>
        <v>2</v>
      </c>
      <c r="BL10" s="6">
        <f t="shared" si="10"/>
        <v>0</v>
      </c>
      <c r="BM10" s="33">
        <f t="shared" si="29"/>
        <v>8</v>
      </c>
      <c r="BP10" s="33">
        <f t="shared" si="30"/>
        <v>13</v>
      </c>
      <c r="BQ10" s="33">
        <f t="shared" si="31"/>
        <v>18</v>
      </c>
      <c r="BR10" s="33">
        <f t="shared" si="32"/>
        <v>15</v>
      </c>
      <c r="BS10" s="33">
        <f t="shared" si="33"/>
        <v>13</v>
      </c>
      <c r="BT10" s="33">
        <f t="shared" si="34"/>
        <v>15</v>
      </c>
      <c r="BU10" s="33">
        <f t="shared" si="35"/>
        <v>15</v>
      </c>
      <c r="BV10" s="33">
        <f t="shared" si="36"/>
        <v>12</v>
      </c>
      <c r="BW10" s="33">
        <f t="shared" si="37"/>
        <v>15</v>
      </c>
      <c r="BX10" s="33">
        <f t="shared" si="38"/>
        <v>15</v>
      </c>
      <c r="BY10" s="33"/>
      <c r="BZ10" s="33">
        <f t="shared" si="11"/>
        <v>9</v>
      </c>
      <c r="CA10" s="6">
        <f t="shared" si="12"/>
        <v>80580273</v>
      </c>
      <c r="CB10" s="6">
        <f t="shared" si="13"/>
        <v>7</v>
      </c>
      <c r="CC10" s="6" t="str">
        <f t="shared" si="14"/>
        <v>Essex</v>
      </c>
      <c r="CD10" s="6">
        <f t="shared" si="39"/>
        <v>8</v>
      </c>
      <c r="CE10" s="6">
        <f t="shared" si="40"/>
        <v>58</v>
      </c>
      <c r="CF10" s="6">
        <f t="shared" si="40"/>
        <v>73</v>
      </c>
      <c r="CG10" s="6">
        <f t="shared" si="41"/>
        <v>0</v>
      </c>
      <c r="CH10" s="33">
        <f t="shared" si="42"/>
        <v>3</v>
      </c>
      <c r="CI10" s="33">
        <f t="shared" si="43"/>
        <v>9</v>
      </c>
      <c r="CJ10" s="6">
        <v>3</v>
      </c>
      <c r="CK10" s="36">
        <f t="shared" si="15"/>
        <v>9</v>
      </c>
      <c r="CL10" s="37" t="str">
        <f t="shared" si="16"/>
        <v>Suffolk</v>
      </c>
      <c r="CM10" s="6">
        <f t="shared" si="17"/>
        <v>9</v>
      </c>
      <c r="CN10" s="6">
        <f t="shared" si="18"/>
        <v>12</v>
      </c>
      <c r="CO10" s="6">
        <f t="shared" si="19"/>
        <v>78</v>
      </c>
      <c r="CP10" s="6">
        <f t="shared" si="20"/>
        <v>55</v>
      </c>
      <c r="CQ10" s="6">
        <f t="shared" si="21"/>
        <v>0</v>
      </c>
      <c r="CR10" s="6">
        <f t="shared" si="22"/>
        <v>120780450</v>
      </c>
      <c r="CS10" s="38">
        <f t="shared" si="23"/>
        <v>3</v>
      </c>
      <c r="CU10" s="39" t="str">
        <f t="shared" si="24"/>
        <v>Essex</v>
      </c>
      <c r="CV10" s="40"/>
    </row>
    <row r="11" spans="1:100" s="6" customFormat="1" ht="18.75">
      <c r="A11" s="41">
        <v>4</v>
      </c>
      <c r="B11" s="42" t="s">
        <v>50</v>
      </c>
      <c r="C11" s="12"/>
      <c r="D11" s="6" t="str">
        <f t="shared" si="0"/>
        <v>North Tyneside</v>
      </c>
      <c r="E11" s="6" t="str">
        <f t="shared" si="1"/>
        <v>Durham</v>
      </c>
      <c r="F11" s="78" t="str">
        <f t="shared" si="25"/>
        <v>North Tyneside v. Durham</v>
      </c>
      <c r="G11" s="6">
        <f t="shared" si="26"/>
        <v>2</v>
      </c>
      <c r="H11" s="33">
        <v>6</v>
      </c>
      <c r="I11" s="6" t="s">
        <v>47</v>
      </c>
      <c r="J11" s="79">
        <v>2</v>
      </c>
      <c r="K11" s="8"/>
      <c r="L11" s="83">
        <v>3</v>
      </c>
      <c r="M11" s="83">
        <v>16</v>
      </c>
      <c r="N11" s="34"/>
      <c r="O11" s="35">
        <f>SUMIF(ssg1.1,teama4,ssr1.1)</f>
        <v>11</v>
      </c>
      <c r="P11" s="35">
        <f>SUMIF(ssg1.2,teama4,ssr1.2)</f>
        <v>0</v>
      </c>
      <c r="Q11" s="35">
        <f>SUMIF(ssg1.1,teama4,ssr1.2)</f>
        <v>3</v>
      </c>
      <c r="R11" s="35">
        <f>SUMIF(ssg1.2,teama4,ssr1.1)</f>
        <v>0</v>
      </c>
      <c r="S11" s="35">
        <f>SUMIF(ssg2.1,teama4,ssr2.1)</f>
        <v>15</v>
      </c>
      <c r="T11" s="35">
        <f>SUMIF(ssg2.2,teama4,ssr2.2)</f>
        <v>0</v>
      </c>
      <c r="U11" s="35">
        <f>SUMIF(ssg2.1,teama4,ssr2.2)</f>
        <v>2</v>
      </c>
      <c r="V11" s="35">
        <f>SUMIF(ssg2.2,teama4,ssr2.1)</f>
        <v>0</v>
      </c>
      <c r="W11" s="35">
        <f>SUMIF(ssg3.1,teama4,ssr3.1)</f>
        <v>9</v>
      </c>
      <c r="X11" s="35">
        <f>SUMIF(ssg3.2,teama4,ssr3.2)</f>
        <v>0</v>
      </c>
      <c r="Y11" s="35">
        <f>SUMIF(ssg3.1,teama4,ssr3.2)</f>
        <v>3</v>
      </c>
      <c r="Z11" s="35">
        <f>SUMIF(ssg3.2,teama4,ssr3.1)</f>
        <v>0</v>
      </c>
      <c r="AA11" s="35">
        <f>SUMIF(ssg4.1,teama4,ssr4.1)</f>
        <v>5</v>
      </c>
      <c r="AB11" s="35">
        <f>SUMIF(ssg4.2,teama4,ssr4.2)</f>
        <v>0</v>
      </c>
      <c r="AC11" s="35">
        <f>SUMIF(ssg4.1,teama4,ssr4.2)</f>
        <v>11</v>
      </c>
      <c r="AD11" s="35">
        <f>SUMIF(ssg4.2,teama4,ssr4.1)</f>
        <v>0</v>
      </c>
      <c r="AE11" s="35">
        <f>SUMIF(ssg5.1,teama4,ssr5.1)</f>
        <v>5</v>
      </c>
      <c r="AF11" s="35">
        <f>SUMIF(ssg5.2,teama4,ssr5.2)</f>
        <v>0</v>
      </c>
      <c r="AG11" s="35">
        <f>SUMIF(ssg5.1,teama4,ssr5.2)</f>
        <v>10</v>
      </c>
      <c r="AH11" s="35">
        <f>SUMIF(ssg5.2,teama4,ssr5.1)</f>
        <v>0</v>
      </c>
      <c r="AI11" s="35">
        <f>SUMIF(ssg6.1,teama4,ssr6.1)</f>
        <v>11</v>
      </c>
      <c r="AJ11" s="35">
        <f>SUMIF(ssg6.2,teama4,ssr6.2)</f>
        <v>0</v>
      </c>
      <c r="AK11" s="35">
        <f>SUMIF(ssg6.1,teama4,ssr6.2)</f>
        <v>6</v>
      </c>
      <c r="AL11" s="35">
        <f>SUMIF(ssg6.2,teama4,ssr6.1)</f>
        <v>0</v>
      </c>
      <c r="AM11" s="35">
        <f>SUMIF(ssg7.1,teama4,ssr7.1)</f>
        <v>5</v>
      </c>
      <c r="AN11" s="35">
        <f>SUMIF(ssg7.2,teama4,ssr7.2)</f>
        <v>0</v>
      </c>
      <c r="AO11" s="35">
        <f>SUMIF(ssg7.1,teama4,ssr7.2)</f>
        <v>9</v>
      </c>
      <c r="AP11" s="35">
        <f>SUMIF(ssg7.2,teama4,ssr7.1)</f>
        <v>0</v>
      </c>
      <c r="AQ11" s="35">
        <f>SUMIF(ssg8.1,teama4,ssr8.1)</f>
        <v>4</v>
      </c>
      <c r="AR11" s="35">
        <f>SUMIF(ssg8.2,teama4,ssr8.2)</f>
        <v>0</v>
      </c>
      <c r="AS11" s="35">
        <f>SUMIF(ssg8.1,teama4,ssr8.2)</f>
        <v>11</v>
      </c>
      <c r="AT11" s="35">
        <f>SUMIF(ssg8.2,teama4,ssr8.1)</f>
        <v>0</v>
      </c>
      <c r="AU11" s="35">
        <f>SUMIF(ssg9.1,teama4,ssr9.1)</f>
        <v>0</v>
      </c>
      <c r="AV11" s="35">
        <f>SUMIF(ssg9.2,teama4,ssr9.2)</f>
        <v>9</v>
      </c>
      <c r="AW11" s="35">
        <f>SUMIF(ssg9.1,teama4,ssr9.2)</f>
        <v>0</v>
      </c>
      <c r="AX11" s="35">
        <f>SUMIF(ssg9.2,teama4,ssr9.1)</f>
        <v>6</v>
      </c>
      <c r="AY11" s="33">
        <f t="shared" si="27"/>
        <v>74</v>
      </c>
      <c r="AZ11" s="33">
        <f t="shared" si="28"/>
        <v>61</v>
      </c>
      <c r="BD11" s="6">
        <f t="shared" si="2"/>
        <v>2</v>
      </c>
      <c r="BE11" s="6">
        <f t="shared" si="3"/>
        <v>2</v>
      </c>
      <c r="BF11" s="6">
        <f t="shared" si="4"/>
        <v>2</v>
      </c>
      <c r="BG11" s="6">
        <f t="shared" si="5"/>
        <v>0</v>
      </c>
      <c r="BH11" s="6">
        <f t="shared" si="6"/>
        <v>0</v>
      </c>
      <c r="BI11" s="6">
        <f t="shared" si="7"/>
        <v>2</v>
      </c>
      <c r="BJ11" s="6">
        <f t="shared" si="8"/>
        <v>0</v>
      </c>
      <c r="BK11" s="6">
        <f t="shared" si="9"/>
        <v>0</v>
      </c>
      <c r="BL11" s="6">
        <f t="shared" si="10"/>
        <v>2</v>
      </c>
      <c r="BM11" s="33">
        <f t="shared" si="29"/>
        <v>10</v>
      </c>
      <c r="BP11" s="33">
        <f t="shared" si="30"/>
        <v>14</v>
      </c>
      <c r="BQ11" s="33">
        <f t="shared" si="31"/>
        <v>17</v>
      </c>
      <c r="BR11" s="33">
        <f t="shared" si="32"/>
        <v>12</v>
      </c>
      <c r="BS11" s="33">
        <f t="shared" si="33"/>
        <v>16</v>
      </c>
      <c r="BT11" s="33">
        <f t="shared" si="34"/>
        <v>15</v>
      </c>
      <c r="BU11" s="33">
        <f t="shared" si="35"/>
        <v>17</v>
      </c>
      <c r="BV11" s="33">
        <f t="shared" si="36"/>
        <v>14</v>
      </c>
      <c r="BW11" s="33">
        <f t="shared" si="37"/>
        <v>15</v>
      </c>
      <c r="BX11" s="33">
        <f t="shared" si="38"/>
        <v>15</v>
      </c>
      <c r="BY11" s="33"/>
      <c r="BZ11" s="33">
        <f t="shared" si="11"/>
        <v>9</v>
      </c>
      <c r="CA11" s="6">
        <f t="shared" si="12"/>
        <v>100740394</v>
      </c>
      <c r="CB11" s="6">
        <f t="shared" si="13"/>
        <v>4</v>
      </c>
      <c r="CC11" s="6" t="str">
        <f t="shared" si="14"/>
        <v>Hertfordshire</v>
      </c>
      <c r="CD11" s="6">
        <f t="shared" si="39"/>
        <v>10</v>
      </c>
      <c r="CE11" s="6">
        <f t="shared" si="40"/>
        <v>74</v>
      </c>
      <c r="CF11" s="6">
        <f t="shared" si="40"/>
        <v>61</v>
      </c>
      <c r="CG11" s="6">
        <f t="shared" si="41"/>
        <v>0</v>
      </c>
      <c r="CH11" s="33">
        <f t="shared" si="42"/>
        <v>4</v>
      </c>
      <c r="CI11" s="33">
        <f t="shared" si="43"/>
        <v>9</v>
      </c>
      <c r="CJ11" s="6">
        <v>4</v>
      </c>
      <c r="CK11" s="36">
        <f t="shared" si="15"/>
        <v>4</v>
      </c>
      <c r="CL11" s="37" t="str">
        <f t="shared" si="16"/>
        <v>Hertfordshire</v>
      </c>
      <c r="CM11" s="6">
        <f t="shared" si="17"/>
        <v>9</v>
      </c>
      <c r="CN11" s="6">
        <f t="shared" si="18"/>
        <v>10</v>
      </c>
      <c r="CO11" s="6">
        <f t="shared" si="19"/>
        <v>74</v>
      </c>
      <c r="CP11" s="6">
        <f t="shared" si="20"/>
        <v>61</v>
      </c>
      <c r="CQ11" s="6">
        <f t="shared" si="21"/>
        <v>0</v>
      </c>
      <c r="CR11" s="6">
        <f t="shared" si="22"/>
        <v>100740390</v>
      </c>
      <c r="CS11" s="38">
        <f t="shared" si="23"/>
        <v>4</v>
      </c>
      <c r="CU11" s="39" t="str">
        <f t="shared" si="24"/>
        <v>Hertfordshire</v>
      </c>
      <c r="CV11" s="40"/>
    </row>
    <row r="12" spans="1:100" s="6" customFormat="1" ht="18.75">
      <c r="A12" s="41">
        <v>5</v>
      </c>
      <c r="B12" s="42" t="s">
        <v>51</v>
      </c>
      <c r="C12" s="12"/>
      <c r="D12" s="6" t="str">
        <f t="shared" si="0"/>
        <v>Northumberland</v>
      </c>
      <c r="E12" s="6" t="str">
        <f t="shared" si="1"/>
        <v>Cambridgeshire</v>
      </c>
      <c r="F12" s="80" t="str">
        <f t="shared" si="25"/>
        <v>Northumberland v. Cambridgeshire</v>
      </c>
      <c r="G12" s="47">
        <f t="shared" si="26"/>
        <v>2</v>
      </c>
      <c r="H12" s="81">
        <v>7</v>
      </c>
      <c r="I12" s="47" t="s">
        <v>47</v>
      </c>
      <c r="J12" s="82">
        <v>1</v>
      </c>
      <c r="K12" s="8"/>
      <c r="L12" s="83">
        <v>3</v>
      </c>
      <c r="M12" s="83">
        <v>10</v>
      </c>
      <c r="N12" s="34"/>
      <c r="O12" s="35">
        <f>SUMIF(ssg1.1,teama5,ssr1.1)</f>
        <v>0</v>
      </c>
      <c r="P12" s="35">
        <f>SUMIF(ssg1.2,teama5,ssr1.2)</f>
        <v>3</v>
      </c>
      <c r="Q12" s="35">
        <f>SUMIF(ssg1.1,teama5,ssr1.2)</f>
        <v>0</v>
      </c>
      <c r="R12" s="35">
        <f>SUMIF(ssg1.2,teama5,ssr1.1)</f>
        <v>11</v>
      </c>
      <c r="S12" s="35">
        <f>SUMIF(ssg2.1,teama5,ssr2.1)</f>
        <v>0</v>
      </c>
      <c r="T12" s="35">
        <f>SUMIF(ssg2.2,teama5,ssr2.2)</f>
        <v>7</v>
      </c>
      <c r="U12" s="35">
        <f>SUMIF(ssg2.1,teama5,ssr2.2)</f>
        <v>0</v>
      </c>
      <c r="V12" s="35">
        <f>SUMIF(ssg2.2,teama5,ssr2.1)</f>
        <v>11</v>
      </c>
      <c r="W12" s="35">
        <f>SUMIF(ssg3.1,teama5,ssr3.1)</f>
        <v>7</v>
      </c>
      <c r="X12" s="35">
        <f>SUMIF(ssg3.2,teama5,ssr3.2)</f>
        <v>0</v>
      </c>
      <c r="Y12" s="35">
        <f>SUMIF(ssg3.1,teama5,ssr3.2)</f>
        <v>13</v>
      </c>
      <c r="Z12" s="35">
        <f>SUMIF(ssg3.2,teama5,ssr3.1)</f>
        <v>0</v>
      </c>
      <c r="AA12" s="35">
        <f>SUMIF(ssg4.1,teama5,ssr4.1)</f>
        <v>5</v>
      </c>
      <c r="AB12" s="35">
        <f>SUMIF(ssg4.2,teama5,ssr4.2)</f>
        <v>0</v>
      </c>
      <c r="AC12" s="35">
        <f>SUMIF(ssg4.1,teama5,ssr4.2)</f>
        <v>7</v>
      </c>
      <c r="AD12" s="35">
        <f>SUMIF(ssg4.2,teama5,ssr4.1)</f>
        <v>0</v>
      </c>
      <c r="AE12" s="35">
        <f>SUMIF(ssg5.1,teama5,ssr5.1)</f>
        <v>5</v>
      </c>
      <c r="AF12" s="35">
        <f>SUMIF(ssg5.2,teama5,ssr5.2)</f>
        <v>0</v>
      </c>
      <c r="AG12" s="35">
        <f>SUMIF(ssg5.1,teama5,ssr5.2)</f>
        <v>8</v>
      </c>
      <c r="AH12" s="35">
        <f>SUMIF(ssg5.2,teama5,ssr5.1)</f>
        <v>0</v>
      </c>
      <c r="AI12" s="35">
        <f>SUMIF(ssg6.1,teama5,ssr6.1)</f>
        <v>13</v>
      </c>
      <c r="AJ12" s="35">
        <f>SUMIF(ssg6.2,teama5,ssr6.2)</f>
        <v>0</v>
      </c>
      <c r="AK12" s="35">
        <f>SUMIF(ssg6.1,teama5,ssr6.2)</f>
        <v>2</v>
      </c>
      <c r="AL12" s="35">
        <f>SUMIF(ssg6.2,teama5,ssr6.1)</f>
        <v>0</v>
      </c>
      <c r="AM12" s="35">
        <f>SUMIF(ssg7.1,teama5,ssr7.1)</f>
        <v>9</v>
      </c>
      <c r="AN12" s="35">
        <f>SUMIF(ssg7.2,teama5,ssr7.2)</f>
        <v>0</v>
      </c>
      <c r="AO12" s="35">
        <f>SUMIF(ssg7.1,teama5,ssr7.2)</f>
        <v>8</v>
      </c>
      <c r="AP12" s="35">
        <f>SUMIF(ssg7.2,teama5,ssr7.1)</f>
        <v>0</v>
      </c>
      <c r="AQ12" s="35">
        <f>SUMIF(ssg8.1,teama5,ssr8.1)</f>
        <v>9</v>
      </c>
      <c r="AR12" s="35">
        <f>SUMIF(ssg8.2,teama5,ssr8.2)</f>
        <v>0</v>
      </c>
      <c r="AS12" s="35">
        <f>SUMIF(ssg8.1,teama5,ssr8.2)</f>
        <v>5</v>
      </c>
      <c r="AT12" s="35">
        <f>SUMIF(ssg8.2,teama5,ssr8.1)</f>
        <v>0</v>
      </c>
      <c r="AU12" s="35">
        <f>SUMIF(ssg9.1,teama5,ssr9.1)</f>
        <v>5</v>
      </c>
      <c r="AV12" s="35">
        <f>SUMIF(ssg9.2,teama5,ssr9.2)</f>
        <v>0</v>
      </c>
      <c r="AW12" s="35">
        <f>SUMIF(ssg9.1,teama5,ssr9.2)</f>
        <v>7</v>
      </c>
      <c r="AX12" s="35">
        <f>SUMIF(ssg9.2,teama5,ssr9.1)</f>
        <v>0</v>
      </c>
      <c r="AY12" s="33">
        <f t="shared" si="27"/>
        <v>63</v>
      </c>
      <c r="AZ12" s="33">
        <f t="shared" si="28"/>
        <v>72</v>
      </c>
      <c r="BD12" s="6">
        <f t="shared" si="2"/>
        <v>0</v>
      </c>
      <c r="BE12" s="6">
        <f t="shared" si="3"/>
        <v>0</v>
      </c>
      <c r="BF12" s="6">
        <f t="shared" si="4"/>
        <v>0</v>
      </c>
      <c r="BG12" s="6">
        <f t="shared" si="5"/>
        <v>0</v>
      </c>
      <c r="BH12" s="6">
        <f t="shared" si="6"/>
        <v>0</v>
      </c>
      <c r="BI12" s="6">
        <f t="shared" si="7"/>
        <v>2</v>
      </c>
      <c r="BJ12" s="6">
        <f t="shared" si="8"/>
        <v>2</v>
      </c>
      <c r="BK12" s="6">
        <f t="shared" si="9"/>
        <v>2</v>
      </c>
      <c r="BL12" s="6">
        <f t="shared" si="10"/>
        <v>0</v>
      </c>
      <c r="BM12" s="33">
        <f t="shared" si="29"/>
        <v>6</v>
      </c>
      <c r="BP12" s="33">
        <f t="shared" si="30"/>
        <v>14</v>
      </c>
      <c r="BQ12" s="33">
        <f t="shared" si="31"/>
        <v>18</v>
      </c>
      <c r="BR12" s="33">
        <f t="shared" si="32"/>
        <v>20</v>
      </c>
      <c r="BS12" s="33">
        <f t="shared" si="33"/>
        <v>12</v>
      </c>
      <c r="BT12" s="33">
        <f t="shared" si="34"/>
        <v>13</v>
      </c>
      <c r="BU12" s="33">
        <f t="shared" si="35"/>
        <v>15</v>
      </c>
      <c r="BV12" s="33">
        <f t="shared" si="36"/>
        <v>17</v>
      </c>
      <c r="BW12" s="33">
        <f t="shared" si="37"/>
        <v>14</v>
      </c>
      <c r="BX12" s="33">
        <f t="shared" si="38"/>
        <v>12</v>
      </c>
      <c r="BY12" s="33"/>
      <c r="BZ12" s="33">
        <f t="shared" si="11"/>
        <v>9</v>
      </c>
      <c r="CA12" s="6">
        <f t="shared" si="12"/>
        <v>60630285</v>
      </c>
      <c r="CB12" s="6">
        <f t="shared" si="13"/>
        <v>8</v>
      </c>
      <c r="CC12" s="6" t="str">
        <f t="shared" si="14"/>
        <v>Norfolk</v>
      </c>
      <c r="CD12" s="6">
        <f t="shared" si="39"/>
        <v>6</v>
      </c>
      <c r="CE12" s="6">
        <f t="shared" si="40"/>
        <v>63</v>
      </c>
      <c r="CF12" s="6">
        <f t="shared" si="40"/>
        <v>72</v>
      </c>
      <c r="CG12" s="6">
        <f t="shared" si="41"/>
        <v>0</v>
      </c>
      <c r="CH12" s="33">
        <f t="shared" si="42"/>
        <v>5</v>
      </c>
      <c r="CI12" s="33">
        <f t="shared" si="43"/>
        <v>9</v>
      </c>
      <c r="CJ12" s="6">
        <v>5</v>
      </c>
      <c r="CK12" s="36">
        <f t="shared" si="15"/>
        <v>7</v>
      </c>
      <c r="CL12" s="37" t="str">
        <f t="shared" si="16"/>
        <v>Northumberland</v>
      </c>
      <c r="CM12" s="6">
        <f t="shared" si="17"/>
        <v>9</v>
      </c>
      <c r="CN12" s="6">
        <f t="shared" si="18"/>
        <v>10</v>
      </c>
      <c r="CO12" s="6">
        <f t="shared" si="19"/>
        <v>70</v>
      </c>
      <c r="CP12" s="6">
        <f t="shared" si="20"/>
        <v>66</v>
      </c>
      <c r="CQ12" s="6">
        <f t="shared" si="21"/>
        <v>0</v>
      </c>
      <c r="CR12" s="6">
        <f t="shared" si="22"/>
        <v>100700340</v>
      </c>
      <c r="CS12" s="38">
        <f t="shared" si="23"/>
        <v>5</v>
      </c>
      <c r="CU12" s="39" t="str">
        <f t="shared" si="24"/>
        <v>Norfolk</v>
      </c>
      <c r="CV12" s="40"/>
    </row>
    <row r="13" spans="1:100" s="6" customFormat="1" ht="18">
      <c r="A13" s="41">
        <v>6</v>
      </c>
      <c r="B13" s="42" t="s">
        <v>78</v>
      </c>
      <c r="D13" s="6" t="str">
        <f t="shared" si="0"/>
        <v>South Tyneside</v>
      </c>
      <c r="E13" s="6" t="str">
        <f t="shared" si="1"/>
        <v>Sunderland</v>
      </c>
      <c r="F13" s="74" t="str">
        <f t="shared" si="25"/>
        <v>South Tyneside v. Sunderland</v>
      </c>
      <c r="G13" s="75">
        <f>IF(ISNUMBER(SEARCH("0",F13)),1,2)</f>
        <v>2</v>
      </c>
      <c r="H13" s="76">
        <v>8</v>
      </c>
      <c r="I13" s="75" t="s">
        <v>47</v>
      </c>
      <c r="J13" s="77">
        <v>10</v>
      </c>
      <c r="K13" s="33"/>
      <c r="L13" s="83">
        <v>8</v>
      </c>
      <c r="M13" s="83">
        <v>6</v>
      </c>
      <c r="O13" s="35">
        <f>SUMIF(ssg1.1,teama6,ssr1.1)</f>
        <v>3</v>
      </c>
      <c r="P13" s="35">
        <f>SUMIF(ssg1.2,teama6,ssr1.2)</f>
        <v>0</v>
      </c>
      <c r="Q13" s="35">
        <f>SUMIF(ssg1.1,teama6,ssr1.2)</f>
        <v>16</v>
      </c>
      <c r="R13" s="35">
        <f>SUMIF(ssg1.2,teama6,ssr1.1)</f>
        <v>0</v>
      </c>
      <c r="S13" s="35">
        <f>SUMIF(ssg2.1,teama6,ssr2.1)</f>
        <v>0</v>
      </c>
      <c r="T13" s="35">
        <f>SUMIF(ssg2.2,teama6,ssr2.2)</f>
        <v>2</v>
      </c>
      <c r="U13" s="35">
        <f>SUMIF(ssg2.1,teama6,ssr2.2)</f>
        <v>0</v>
      </c>
      <c r="V13" s="35">
        <f>SUMIF(ssg2.2,teama6,ssr2.1)</f>
        <v>15</v>
      </c>
      <c r="W13" s="35">
        <f>SUMIF(ssg3.1,teama6,ssr3.1)</f>
        <v>1</v>
      </c>
      <c r="X13" s="35">
        <f>SUMIF(ssg3.2,teama6,ssr3.2)</f>
        <v>0</v>
      </c>
      <c r="Y13" s="35">
        <f>SUMIF(ssg3.1,teama6,ssr3.2)</f>
        <v>14</v>
      </c>
      <c r="Z13" s="35">
        <f>SUMIF(ssg3.2,teama6,ssr3.1)</f>
        <v>0</v>
      </c>
      <c r="AA13" s="35">
        <f>SUMIF(ssg4.1,teama6,ssr4.1)</f>
        <v>2</v>
      </c>
      <c r="AB13" s="35">
        <f>SUMIF(ssg4.2,teama6,ssr4.2)</f>
        <v>0</v>
      </c>
      <c r="AC13" s="35">
        <f>SUMIF(ssg4.1,teama6,ssr4.2)</f>
        <v>10</v>
      </c>
      <c r="AD13" s="35">
        <f>SUMIF(ssg4.2,teama6,ssr4.1)</f>
        <v>0</v>
      </c>
      <c r="AE13" s="35">
        <f>SUMIF(ssg5.1,teama6,ssr5.1)</f>
        <v>5</v>
      </c>
      <c r="AF13" s="35">
        <f>SUMIF(ssg5.2,teama6,ssr5.2)</f>
        <v>0</v>
      </c>
      <c r="AG13" s="35">
        <f>SUMIF(ssg5.1,teama6,ssr5.2)</f>
        <v>6</v>
      </c>
      <c r="AH13" s="35">
        <f>SUMIF(ssg5.2,teama6,ssr5.1)</f>
        <v>0</v>
      </c>
      <c r="AI13" s="35">
        <f>SUMIF(ssg6.1,teama6,ssr6.1)</f>
        <v>3</v>
      </c>
      <c r="AJ13" s="35">
        <f>SUMIF(ssg6.2,teama6,ssr6.2)</f>
        <v>0</v>
      </c>
      <c r="AK13" s="35">
        <f>SUMIF(ssg6.1,teama6,ssr6.2)</f>
        <v>15</v>
      </c>
      <c r="AL13" s="35">
        <f>SUMIF(ssg6.2,teama6,ssr6.1)</f>
        <v>0</v>
      </c>
      <c r="AM13" s="35">
        <f>SUMIF(ssg7.1,teama6,ssr7.1)</f>
        <v>6</v>
      </c>
      <c r="AN13" s="35">
        <f>SUMIF(ssg7.2,teama6,ssr7.2)</f>
        <v>0</v>
      </c>
      <c r="AO13" s="35">
        <f>SUMIF(ssg7.1,teama6,ssr7.2)</f>
        <v>16</v>
      </c>
      <c r="AP13" s="35">
        <f>SUMIF(ssg7.2,teama6,ssr7.1)</f>
        <v>0</v>
      </c>
      <c r="AQ13" s="35">
        <f>SUMIF(ssg8.1,teama6,ssr8.1)</f>
        <v>0</v>
      </c>
      <c r="AR13" s="35">
        <f>SUMIF(ssg8.2,teama6,ssr8.2)</f>
        <v>3</v>
      </c>
      <c r="AS13" s="35">
        <f>SUMIF(ssg8.1,teama6,ssr8.2)</f>
        <v>0</v>
      </c>
      <c r="AT13" s="35">
        <f>SUMIF(ssg8.2,teama6,ssr8.1)</f>
        <v>12</v>
      </c>
      <c r="AU13" s="35">
        <f>SUMIF(ssg9.1,teama6,ssr9.1)</f>
        <v>0</v>
      </c>
      <c r="AV13" s="35">
        <f>SUMIF(ssg9.2,teama6,ssr9.2)</f>
        <v>7</v>
      </c>
      <c r="AW13" s="35">
        <f>SUMIF(ssg9.1,teama6,ssr9.2)</f>
        <v>0</v>
      </c>
      <c r="AX13" s="35">
        <f>SUMIF(ssg9.2,teama6,ssr9.1)</f>
        <v>5</v>
      </c>
      <c r="AY13" s="33">
        <f t="shared" si="27"/>
        <v>32</v>
      </c>
      <c r="AZ13" s="33">
        <f t="shared" si="28"/>
        <v>109</v>
      </c>
      <c r="BD13" s="6">
        <f t="shared" si="2"/>
        <v>0</v>
      </c>
      <c r="BE13" s="6">
        <f t="shared" si="3"/>
        <v>0</v>
      </c>
      <c r="BF13" s="6">
        <f t="shared" si="4"/>
        <v>0</v>
      </c>
      <c r="BG13" s="6">
        <f t="shared" si="5"/>
        <v>0</v>
      </c>
      <c r="BH13" s="6">
        <f t="shared" si="6"/>
        <v>0</v>
      </c>
      <c r="BI13" s="6">
        <f t="shared" si="7"/>
        <v>0</v>
      </c>
      <c r="BJ13" s="6">
        <f t="shared" si="8"/>
        <v>0</v>
      </c>
      <c r="BK13" s="6">
        <f t="shared" si="9"/>
        <v>0</v>
      </c>
      <c r="BL13" s="6">
        <f t="shared" si="10"/>
        <v>2</v>
      </c>
      <c r="BM13" s="33">
        <f t="shared" si="29"/>
        <v>2</v>
      </c>
      <c r="BP13" s="33">
        <f t="shared" si="30"/>
        <v>19</v>
      </c>
      <c r="BQ13" s="33">
        <f t="shared" si="31"/>
        <v>17</v>
      </c>
      <c r="BR13" s="33">
        <f t="shared" si="32"/>
        <v>15</v>
      </c>
      <c r="BS13" s="33">
        <f t="shared" si="33"/>
        <v>12</v>
      </c>
      <c r="BT13" s="33">
        <f t="shared" si="34"/>
        <v>11</v>
      </c>
      <c r="BU13" s="33">
        <f t="shared" si="35"/>
        <v>18</v>
      </c>
      <c r="BV13" s="33">
        <f t="shared" si="36"/>
        <v>22</v>
      </c>
      <c r="BW13" s="33">
        <f t="shared" si="37"/>
        <v>15</v>
      </c>
      <c r="BX13" s="33">
        <f t="shared" si="38"/>
        <v>12</v>
      </c>
      <c r="BY13" s="33"/>
      <c r="BZ13" s="33">
        <f t="shared" si="11"/>
        <v>9</v>
      </c>
      <c r="CA13" s="6">
        <f t="shared" si="12"/>
        <v>20319916</v>
      </c>
      <c r="CB13" s="6">
        <f t="shared" si="13"/>
        <v>10</v>
      </c>
      <c r="CC13" s="6" t="str">
        <f t="shared" si="14"/>
        <v>North Tyneside</v>
      </c>
      <c r="CD13" s="6">
        <f t="shared" si="39"/>
        <v>2</v>
      </c>
      <c r="CE13" s="6">
        <f t="shared" si="40"/>
        <v>32</v>
      </c>
      <c r="CF13" s="6">
        <f t="shared" si="40"/>
        <v>109</v>
      </c>
      <c r="CG13" s="6">
        <f t="shared" si="41"/>
        <v>0</v>
      </c>
      <c r="CH13" s="33">
        <f t="shared" si="42"/>
        <v>6</v>
      </c>
      <c r="CI13" s="33">
        <f t="shared" si="43"/>
        <v>9</v>
      </c>
      <c r="CJ13" s="6">
        <v>6</v>
      </c>
      <c r="CK13" s="36">
        <f t="shared" si="15"/>
        <v>10</v>
      </c>
      <c r="CL13" s="37" t="str">
        <f t="shared" si="16"/>
        <v>Sunderland</v>
      </c>
      <c r="CM13" s="6">
        <f t="shared" si="17"/>
        <v>9</v>
      </c>
      <c r="CN13" s="6">
        <f t="shared" si="18"/>
        <v>9</v>
      </c>
      <c r="CO13" s="6">
        <f t="shared" si="19"/>
        <v>71</v>
      </c>
      <c r="CP13" s="6">
        <f t="shared" si="20"/>
        <v>60</v>
      </c>
      <c r="CQ13" s="6">
        <f t="shared" si="21"/>
        <v>0</v>
      </c>
      <c r="CR13" s="6">
        <f t="shared" si="22"/>
        <v>90710400</v>
      </c>
      <c r="CS13" s="38">
        <f t="shared" si="23"/>
        <v>6</v>
      </c>
      <c r="CU13" s="39" t="str">
        <f t="shared" si="24"/>
        <v>North Tyneside</v>
      </c>
      <c r="CV13" s="40"/>
    </row>
    <row r="14" spans="1:100" s="6" customFormat="1" ht="18">
      <c r="A14" s="41">
        <v>7</v>
      </c>
      <c r="B14" s="42" t="s">
        <v>80</v>
      </c>
      <c r="D14" s="6" t="str">
        <f t="shared" si="0"/>
        <v>Northumberland</v>
      </c>
      <c r="E14" s="6" t="str">
        <f t="shared" si="1"/>
        <v>Durham</v>
      </c>
      <c r="F14" s="78" t="str">
        <f t="shared" si="25"/>
        <v>Northumberland v. Durham</v>
      </c>
      <c r="G14" s="6">
        <f>IF(ISNUMBER(SEARCH("0",F14)),1,2)</f>
        <v>2</v>
      </c>
      <c r="H14" s="33">
        <v>7</v>
      </c>
      <c r="I14" s="6" t="s">
        <v>47</v>
      </c>
      <c r="J14" s="79">
        <v>2</v>
      </c>
      <c r="K14" s="33"/>
      <c r="L14" s="83">
        <v>7</v>
      </c>
      <c r="M14" s="83">
        <v>6</v>
      </c>
      <c r="O14" s="35">
        <f>SUMIF(ssg1.1,teama7,ssr1.1)</f>
        <v>3</v>
      </c>
      <c r="P14" s="35">
        <f>SUMIF(ssg1.2,teama7,ssr1.2)</f>
        <v>0</v>
      </c>
      <c r="Q14" s="35">
        <f>SUMIF(ssg1.1,teama7,ssr1.2)</f>
        <v>10</v>
      </c>
      <c r="R14" s="35">
        <f>SUMIF(ssg1.2,teama7,ssr1.1)</f>
        <v>0</v>
      </c>
      <c r="S14" s="35">
        <f>SUMIF(ssg2.1,teama7,ssr2.1)</f>
        <v>7</v>
      </c>
      <c r="T14" s="35">
        <f>SUMIF(ssg2.2,teama7,ssr2.2)</f>
        <v>0</v>
      </c>
      <c r="U14" s="35">
        <f>SUMIF(ssg2.1,teama7,ssr2.2)</f>
        <v>6</v>
      </c>
      <c r="V14" s="35">
        <f>SUMIF(ssg2.2,teama7,ssr2.1)</f>
        <v>0</v>
      </c>
      <c r="W14" s="35">
        <f>SUMIF(ssg3.1,teama7,ssr3.1)</f>
        <v>0</v>
      </c>
      <c r="X14" s="35">
        <f>SUMIF(ssg3.2,teama7,ssr3.2)</f>
        <v>12</v>
      </c>
      <c r="Y14" s="35">
        <f>SUMIF(ssg3.1,teama7,ssr3.2)</f>
        <v>0</v>
      </c>
      <c r="Z14" s="35">
        <f>SUMIF(ssg3.2,teama7,ssr3.1)</f>
        <v>3</v>
      </c>
      <c r="AA14" s="35">
        <f>SUMIF(ssg4.1,teama7,ssr4.1)</f>
        <v>8</v>
      </c>
      <c r="AB14" s="35">
        <f>SUMIF(ssg4.2,teama7,ssr4.2)</f>
        <v>0</v>
      </c>
      <c r="AC14" s="35">
        <f>SUMIF(ssg4.1,teama7,ssr4.2)</f>
        <v>3</v>
      </c>
      <c r="AD14" s="35">
        <f>SUMIF(ssg4.2,teama7,ssr4.1)</f>
        <v>0</v>
      </c>
      <c r="AE14" s="35">
        <f>SUMIF(ssg5.1,teama7,ssr5.1)</f>
        <v>0</v>
      </c>
      <c r="AF14" s="35">
        <f>SUMIF(ssg5.2,teama7,ssr5.2)</f>
        <v>8</v>
      </c>
      <c r="AG14" s="35">
        <f>SUMIF(ssg5.1,teama7,ssr5.2)</f>
        <v>0</v>
      </c>
      <c r="AH14" s="35">
        <f>SUMIF(ssg5.2,teama7,ssr5.1)</f>
        <v>5</v>
      </c>
      <c r="AI14" s="35">
        <f>SUMIF(ssg6.1,teama7,ssr6.1)</f>
        <v>0</v>
      </c>
      <c r="AJ14" s="35">
        <f>SUMIF(ssg6.2,teama7,ssr6.2)</f>
        <v>6</v>
      </c>
      <c r="AK14" s="35">
        <f>SUMIF(ssg6.1,teama7,ssr6.2)</f>
        <v>0</v>
      </c>
      <c r="AL14" s="35">
        <f>SUMIF(ssg6.2,teama7,ssr6.1)</f>
        <v>11</v>
      </c>
      <c r="AM14" s="35">
        <f>SUMIF(ssg7.1,teama7,ssr7.1)</f>
        <v>0</v>
      </c>
      <c r="AN14" s="35">
        <f>SUMIF(ssg7.2,teama7,ssr7.2)</f>
        <v>16</v>
      </c>
      <c r="AO14" s="35">
        <f>SUMIF(ssg7.1,teama7,ssr7.2)</f>
        <v>0</v>
      </c>
      <c r="AP14" s="35">
        <f>SUMIF(ssg7.2,teama7,ssr7.1)</f>
        <v>6</v>
      </c>
      <c r="AQ14" s="35">
        <f>SUMIF(ssg8.1,teama7,ssr8.1)</f>
        <v>5</v>
      </c>
      <c r="AR14" s="35">
        <f>SUMIF(ssg8.2,teama7,ssr8.2)</f>
        <v>0</v>
      </c>
      <c r="AS14" s="35">
        <f>SUMIF(ssg8.1,teama7,ssr8.2)</f>
        <v>12</v>
      </c>
      <c r="AT14" s="35">
        <f>SUMIF(ssg8.2,teama7,ssr8.1)</f>
        <v>0</v>
      </c>
      <c r="AU14" s="35">
        <f>SUMIF(ssg9.1,teama7,ssr9.1)</f>
        <v>5</v>
      </c>
      <c r="AV14" s="35">
        <f>SUMIF(ssg9.2,teama7,ssr9.2)</f>
        <v>0</v>
      </c>
      <c r="AW14" s="35">
        <f>SUMIF(ssg9.1,teama7,ssr9.2)</f>
        <v>10</v>
      </c>
      <c r="AX14" s="35">
        <f>SUMIF(ssg9.2,teama7,ssr9.1)</f>
        <v>0</v>
      </c>
      <c r="AY14" s="33">
        <f t="shared" si="27"/>
        <v>70</v>
      </c>
      <c r="AZ14" s="33">
        <f t="shared" si="28"/>
        <v>66</v>
      </c>
      <c r="BD14" s="6">
        <f t="shared" si="2"/>
        <v>0</v>
      </c>
      <c r="BE14" s="6">
        <f t="shared" si="3"/>
        <v>2</v>
      </c>
      <c r="BF14" s="6">
        <f t="shared" si="4"/>
        <v>2</v>
      </c>
      <c r="BG14" s="6">
        <f t="shared" si="5"/>
        <v>2</v>
      </c>
      <c r="BH14" s="6">
        <f t="shared" si="6"/>
        <v>2</v>
      </c>
      <c r="BI14" s="6">
        <f t="shared" si="7"/>
        <v>0</v>
      </c>
      <c r="BJ14" s="6">
        <f t="shared" si="8"/>
        <v>2</v>
      </c>
      <c r="BK14" s="6">
        <f t="shared" si="9"/>
        <v>0</v>
      </c>
      <c r="BL14" s="6">
        <f t="shared" si="10"/>
        <v>0</v>
      </c>
      <c r="BM14" s="33">
        <f t="shared" si="29"/>
        <v>10</v>
      </c>
      <c r="BP14" s="33">
        <f t="shared" si="30"/>
        <v>13</v>
      </c>
      <c r="BQ14" s="33">
        <f t="shared" si="31"/>
        <v>13</v>
      </c>
      <c r="BR14" s="33">
        <f t="shared" si="32"/>
        <v>15</v>
      </c>
      <c r="BS14" s="33">
        <f t="shared" si="33"/>
        <v>11</v>
      </c>
      <c r="BT14" s="33">
        <f t="shared" si="34"/>
        <v>13</v>
      </c>
      <c r="BU14" s="33">
        <f t="shared" si="35"/>
        <v>17</v>
      </c>
      <c r="BV14" s="33">
        <f t="shared" si="36"/>
        <v>22</v>
      </c>
      <c r="BW14" s="33">
        <f t="shared" si="37"/>
        <v>17</v>
      </c>
      <c r="BX14" s="33">
        <f t="shared" si="38"/>
        <v>15</v>
      </c>
      <c r="BY14" s="33"/>
      <c r="BZ14" s="33">
        <f t="shared" si="11"/>
        <v>9</v>
      </c>
      <c r="CA14" s="6">
        <f t="shared" si="12"/>
        <v>100700347</v>
      </c>
      <c r="CB14" s="6">
        <f t="shared" si="13"/>
        <v>5</v>
      </c>
      <c r="CC14" s="6" t="str">
        <f t="shared" si="14"/>
        <v>Northumberland</v>
      </c>
      <c r="CD14" s="6">
        <f t="shared" si="39"/>
        <v>10</v>
      </c>
      <c r="CE14" s="6">
        <f t="shared" si="40"/>
        <v>70</v>
      </c>
      <c r="CF14" s="6">
        <f t="shared" si="40"/>
        <v>66</v>
      </c>
      <c r="CG14" s="6">
        <f t="shared" si="41"/>
        <v>0</v>
      </c>
      <c r="CH14" s="33">
        <f t="shared" si="42"/>
        <v>7</v>
      </c>
      <c r="CI14" s="33">
        <f t="shared" si="43"/>
        <v>9</v>
      </c>
      <c r="CJ14" s="6">
        <v>7</v>
      </c>
      <c r="CK14" s="36">
        <f t="shared" si="15"/>
        <v>3</v>
      </c>
      <c r="CL14" s="37" t="str">
        <f t="shared" si="16"/>
        <v>Essex</v>
      </c>
      <c r="CM14" s="6">
        <f t="shared" si="17"/>
        <v>9</v>
      </c>
      <c r="CN14" s="6">
        <f t="shared" si="18"/>
        <v>8</v>
      </c>
      <c r="CO14" s="6">
        <f t="shared" si="19"/>
        <v>58</v>
      </c>
      <c r="CP14" s="6">
        <f t="shared" si="20"/>
        <v>73</v>
      </c>
      <c r="CQ14" s="6">
        <f t="shared" si="21"/>
        <v>0</v>
      </c>
      <c r="CR14" s="6">
        <f>((((CN14*1000000)+(CO14*1000)+(CP14-100)*-1))*10)+CQ14</f>
        <v>80580270</v>
      </c>
      <c r="CS14" s="38">
        <f>RANK(CR14,g01tots2)</f>
        <v>7</v>
      </c>
      <c r="CU14" s="39" t="str">
        <f>B14</f>
        <v>Northumberland</v>
      </c>
      <c r="CV14" s="40"/>
    </row>
    <row r="15" spans="1:100" s="6" customFormat="1" ht="18">
      <c r="A15" s="41">
        <v>8</v>
      </c>
      <c r="B15" s="42" t="s">
        <v>79</v>
      </c>
      <c r="D15" s="6" t="str">
        <f t="shared" si="0"/>
        <v>Suffolk</v>
      </c>
      <c r="E15" s="6" t="str">
        <f t="shared" si="1"/>
        <v>Cambridgeshire</v>
      </c>
      <c r="F15" s="78" t="str">
        <f t="shared" si="25"/>
        <v>Suffolk v. Cambridgeshire</v>
      </c>
      <c r="G15" s="6">
        <f t="shared" si="26"/>
        <v>2</v>
      </c>
      <c r="H15" s="33">
        <v>9</v>
      </c>
      <c r="I15" s="6" t="s">
        <v>47</v>
      </c>
      <c r="J15" s="79">
        <v>1</v>
      </c>
      <c r="K15" s="33"/>
      <c r="L15" s="83">
        <v>6</v>
      </c>
      <c r="M15" s="83">
        <v>12</v>
      </c>
      <c r="O15" s="35">
        <f>SUMIF(ssg1.1,teama8,ssr1.1)</f>
        <v>2</v>
      </c>
      <c r="P15" s="35">
        <f>SUMIF(ssg1.2,teama8,ssr1.2)</f>
        <v>0</v>
      </c>
      <c r="Q15" s="35">
        <f>SUMIF(ssg1.1,teama8,ssr1.2)</f>
        <v>10</v>
      </c>
      <c r="R15" s="35">
        <f>SUMIF(ssg1.2,teama8,ssr1.1)</f>
        <v>0</v>
      </c>
      <c r="S15" s="35">
        <f>SUMIF(ssg2.1,teama8,ssr2.1)</f>
        <v>8</v>
      </c>
      <c r="T15" s="35">
        <f>SUMIF(ssg2.2,teama8,ssr2.2)</f>
        <v>0</v>
      </c>
      <c r="U15" s="35">
        <f>SUMIF(ssg2.1,teama8,ssr2.2)</f>
        <v>6</v>
      </c>
      <c r="V15" s="35">
        <f>SUMIF(ssg2.2,teama8,ssr2.1)</f>
        <v>0</v>
      </c>
      <c r="W15" s="35">
        <f>SUMIF(ssg3.1,teama8,ssr3.1)</f>
        <v>0</v>
      </c>
      <c r="X15" s="35">
        <f>SUMIF(ssg3.2,teama8,ssr3.2)</f>
        <v>3</v>
      </c>
      <c r="Y15" s="35">
        <f>SUMIF(ssg3.1,teama8,ssr3.2)</f>
        <v>0</v>
      </c>
      <c r="Z15" s="35">
        <f>SUMIF(ssg3.2,teama8,ssr3.1)</f>
        <v>9</v>
      </c>
      <c r="AA15" s="35">
        <f>SUMIF(ssg4.1,teama8,ssr4.1)</f>
        <v>0</v>
      </c>
      <c r="AB15" s="35">
        <f>SUMIF(ssg4.2,teama8,ssr4.2)</f>
        <v>6</v>
      </c>
      <c r="AC15" s="35">
        <f>SUMIF(ssg4.1,teama8,ssr4.2)</f>
        <v>0</v>
      </c>
      <c r="AD15" s="35">
        <f>SUMIF(ssg4.2,teama8,ssr4.1)</f>
        <v>7</v>
      </c>
      <c r="AE15" s="35">
        <f>SUMIF(ssg5.1,teama8,ssr5.1)</f>
        <v>0</v>
      </c>
      <c r="AF15" s="35">
        <f>SUMIF(ssg5.2,teama8,ssr5.2)</f>
        <v>6</v>
      </c>
      <c r="AG15" s="35">
        <f>SUMIF(ssg5.1,teama8,ssr5.2)</f>
        <v>0</v>
      </c>
      <c r="AH15" s="35">
        <f>SUMIF(ssg5.2,teama8,ssr5.1)</f>
        <v>5</v>
      </c>
      <c r="AI15" s="35">
        <f>SUMIF(ssg6.1,teama8,ssr6.1)</f>
        <v>6</v>
      </c>
      <c r="AJ15" s="35">
        <f>SUMIF(ssg6.2,teama8,ssr6.2)</f>
        <v>0</v>
      </c>
      <c r="AK15" s="35">
        <f>SUMIF(ssg6.1,teama8,ssr6.2)</f>
        <v>9</v>
      </c>
      <c r="AL15" s="35">
        <f>SUMIF(ssg6.2,teama8,ssr6.1)</f>
        <v>0</v>
      </c>
      <c r="AM15" s="35">
        <f>SUMIF(ssg7.1,teama8,ssr7.1)</f>
        <v>6</v>
      </c>
      <c r="AN15" s="35">
        <f>SUMIF(ssg7.2,teama8,ssr7.2)</f>
        <v>0</v>
      </c>
      <c r="AO15" s="35">
        <f>SUMIF(ssg7.1,teama8,ssr7.2)</f>
        <v>15</v>
      </c>
      <c r="AP15" s="35">
        <f>SUMIF(ssg7.2,teama8,ssr7.1)</f>
        <v>0</v>
      </c>
      <c r="AQ15" s="35">
        <f>SUMIF(ssg8.1,teama8,ssr8.1)</f>
        <v>0</v>
      </c>
      <c r="AR15" s="35">
        <f>SUMIF(ssg8.2,teama8,ssr8.2)</f>
        <v>5</v>
      </c>
      <c r="AS15" s="35">
        <f>SUMIF(ssg8.1,teama8,ssr8.2)</f>
        <v>0</v>
      </c>
      <c r="AT15" s="35">
        <f>SUMIF(ssg8.2,teama8,ssr8.1)</f>
        <v>9</v>
      </c>
      <c r="AU15" s="35">
        <f>SUMIF(ssg9.1,teama8,ssr9.1)</f>
        <v>0</v>
      </c>
      <c r="AV15" s="35">
        <f>SUMIF(ssg9.2,teama8,ssr9.2)</f>
        <v>10</v>
      </c>
      <c r="AW15" s="35">
        <f>SUMIF(ssg9.1,teama8,ssr9.2)</f>
        <v>0</v>
      </c>
      <c r="AX15" s="35">
        <f>SUMIF(ssg9.2,teama8,ssr9.1)</f>
        <v>5</v>
      </c>
      <c r="AY15" s="33">
        <f t="shared" si="27"/>
        <v>52</v>
      </c>
      <c r="AZ15" s="33">
        <f t="shared" si="28"/>
        <v>75</v>
      </c>
      <c r="BD15" s="6">
        <f t="shared" si="2"/>
        <v>0</v>
      </c>
      <c r="BE15" s="6">
        <f t="shared" si="3"/>
        <v>2</v>
      </c>
      <c r="BF15" s="6">
        <f t="shared" si="4"/>
        <v>0</v>
      </c>
      <c r="BG15" s="6">
        <f t="shared" si="5"/>
        <v>0</v>
      </c>
      <c r="BH15" s="6">
        <f t="shared" si="6"/>
        <v>2</v>
      </c>
      <c r="BI15" s="6">
        <f t="shared" si="7"/>
        <v>0</v>
      </c>
      <c r="BJ15" s="6">
        <f t="shared" si="8"/>
        <v>0</v>
      </c>
      <c r="BK15" s="6">
        <f t="shared" si="9"/>
        <v>0</v>
      </c>
      <c r="BL15" s="6">
        <f t="shared" si="10"/>
        <v>2</v>
      </c>
      <c r="BM15" s="33">
        <f t="shared" si="29"/>
        <v>6</v>
      </c>
      <c r="BP15" s="33">
        <f t="shared" si="30"/>
        <v>12</v>
      </c>
      <c r="BQ15" s="33">
        <f t="shared" si="31"/>
        <v>14</v>
      </c>
      <c r="BR15" s="33">
        <f t="shared" si="32"/>
        <v>12</v>
      </c>
      <c r="BS15" s="33">
        <f t="shared" si="33"/>
        <v>13</v>
      </c>
      <c r="BT15" s="33">
        <f t="shared" si="34"/>
        <v>11</v>
      </c>
      <c r="BU15" s="33">
        <f t="shared" si="35"/>
        <v>15</v>
      </c>
      <c r="BV15" s="33">
        <f t="shared" si="36"/>
        <v>21</v>
      </c>
      <c r="BW15" s="33">
        <f t="shared" si="37"/>
        <v>14</v>
      </c>
      <c r="BX15" s="33">
        <f t="shared" si="38"/>
        <v>15</v>
      </c>
      <c r="BY15" s="33"/>
      <c r="BZ15" s="33">
        <f t="shared" si="11"/>
        <v>9</v>
      </c>
      <c r="CA15" s="6">
        <f t="shared" si="12"/>
        <v>60520258</v>
      </c>
      <c r="CB15" s="6">
        <f t="shared" si="13"/>
        <v>9</v>
      </c>
      <c r="CC15" s="6" t="str">
        <f t="shared" si="14"/>
        <v>South Tyneside</v>
      </c>
      <c r="CD15" s="6">
        <f t="shared" si="39"/>
        <v>6</v>
      </c>
      <c r="CE15" s="6">
        <f t="shared" si="40"/>
        <v>52</v>
      </c>
      <c r="CF15" s="6">
        <f t="shared" si="40"/>
        <v>75</v>
      </c>
      <c r="CG15" s="6">
        <f t="shared" si="41"/>
        <v>0</v>
      </c>
      <c r="CH15" s="33">
        <f t="shared" si="42"/>
        <v>8</v>
      </c>
      <c r="CI15" s="33">
        <f t="shared" si="43"/>
        <v>9</v>
      </c>
      <c r="CJ15" s="6">
        <v>8</v>
      </c>
      <c r="CK15" s="36">
        <f t="shared" si="15"/>
        <v>5</v>
      </c>
      <c r="CL15" s="37" t="str">
        <f t="shared" si="16"/>
        <v>Norfolk</v>
      </c>
      <c r="CM15" s="6">
        <f t="shared" si="17"/>
        <v>9</v>
      </c>
      <c r="CN15" s="6">
        <f t="shared" si="18"/>
        <v>6</v>
      </c>
      <c r="CO15" s="6">
        <f t="shared" si="19"/>
        <v>63</v>
      </c>
      <c r="CP15" s="6">
        <f t="shared" si="20"/>
        <v>72</v>
      </c>
      <c r="CQ15" s="6">
        <f t="shared" si="21"/>
        <v>0</v>
      </c>
      <c r="CR15" s="6">
        <f>((((CN15*1000000)+(CO15*1000)+(CP15-100)*-1))*10)+CQ15</f>
        <v>60630280</v>
      </c>
      <c r="CS15" s="38">
        <f>RANK(CR15,g01tots2)</f>
        <v>8</v>
      </c>
      <c r="CU15" s="39" t="str">
        <f>B15</f>
        <v>South Tyneside</v>
      </c>
      <c r="CV15" s="40"/>
    </row>
    <row r="16" spans="1:100" s="6" customFormat="1" ht="18">
      <c r="A16" s="41">
        <v>9</v>
      </c>
      <c r="B16" s="42" t="s">
        <v>54</v>
      </c>
      <c r="D16" s="6" t="str">
        <f t="shared" si="0"/>
        <v>Essex</v>
      </c>
      <c r="E16" s="6" t="str">
        <f t="shared" si="1"/>
        <v>Norfolk</v>
      </c>
      <c r="F16" s="78" t="str">
        <f t="shared" si="25"/>
        <v>Essex v. Norfolk</v>
      </c>
      <c r="G16" s="6">
        <f t="shared" si="26"/>
        <v>2</v>
      </c>
      <c r="H16" s="33">
        <v>3</v>
      </c>
      <c r="I16" s="6" t="s">
        <v>47</v>
      </c>
      <c r="J16" s="79">
        <v>5</v>
      </c>
      <c r="K16" s="33"/>
      <c r="L16" s="83">
        <v>11</v>
      </c>
      <c r="M16" s="83">
        <v>7</v>
      </c>
      <c r="O16" s="35">
        <f>SUMIF(ssg1.1,teama9,ssr1.1)</f>
        <v>0</v>
      </c>
      <c r="P16" s="35">
        <f>SUMIF(ssg1.2,teama9,ssr1.2)</f>
        <v>10</v>
      </c>
      <c r="Q16" s="35">
        <f>SUMIF(ssg1.1,teama9,ssr1.2)</f>
        <v>0</v>
      </c>
      <c r="R16" s="35">
        <f>SUMIF(ssg1.2,teama9,ssr1.1)</f>
        <v>2</v>
      </c>
      <c r="S16" s="35">
        <f>SUMIF(ssg2.1,teama9,ssr2.1)</f>
        <v>6</v>
      </c>
      <c r="T16" s="35">
        <f>SUMIF(ssg2.2,teama9,ssr2.2)</f>
        <v>0</v>
      </c>
      <c r="U16" s="35">
        <f>SUMIF(ssg2.1,teama9,ssr2.2)</f>
        <v>12</v>
      </c>
      <c r="V16" s="35">
        <f>SUMIF(ssg2.2,teama9,ssr2.1)</f>
        <v>0</v>
      </c>
      <c r="W16" s="35">
        <f>SUMIF(ssg3.1,teama9,ssr3.1)</f>
        <v>0</v>
      </c>
      <c r="X16" s="35">
        <f>SUMIF(ssg3.2,teama9,ssr3.2)</f>
        <v>14</v>
      </c>
      <c r="Y16" s="35">
        <f>SUMIF(ssg3.1,teama9,ssr3.2)</f>
        <v>0</v>
      </c>
      <c r="Z16" s="35">
        <f>SUMIF(ssg3.2,teama9,ssr3.1)</f>
        <v>1</v>
      </c>
      <c r="AA16" s="35">
        <f>SUMIF(ssg4.1,teama9,ssr4.1)</f>
        <v>0</v>
      </c>
      <c r="AB16" s="35">
        <f>SUMIF(ssg4.2,teama9,ssr4.2)</f>
        <v>11</v>
      </c>
      <c r="AC16" s="35">
        <f>SUMIF(ssg4.1,teama9,ssr4.2)</f>
        <v>0</v>
      </c>
      <c r="AD16" s="35">
        <f>SUMIF(ssg4.2,teama9,ssr4.1)</f>
        <v>5</v>
      </c>
      <c r="AE16" s="35">
        <f>SUMIF(ssg5.1,teama9,ssr5.1)</f>
        <v>4</v>
      </c>
      <c r="AF16" s="35">
        <f>SUMIF(ssg5.2,teama9,ssr5.2)</f>
        <v>0</v>
      </c>
      <c r="AG16" s="35">
        <f>SUMIF(ssg5.1,teama9,ssr5.2)</f>
        <v>9</v>
      </c>
      <c r="AH16" s="35">
        <f>SUMIF(ssg5.2,teama9,ssr5.1)</f>
        <v>0</v>
      </c>
      <c r="AI16" s="35">
        <f>SUMIF(ssg6.1,teama9,ssr6.1)</f>
        <v>0</v>
      </c>
      <c r="AJ16" s="35">
        <f>SUMIF(ssg6.2,teama9,ssr6.2)</f>
        <v>2</v>
      </c>
      <c r="AK16" s="35">
        <f>SUMIF(ssg6.1,teama9,ssr6.2)</f>
        <v>0</v>
      </c>
      <c r="AL16" s="35">
        <f>SUMIF(ssg6.2,teama9,ssr6.1)</f>
        <v>13</v>
      </c>
      <c r="AM16" s="35">
        <f>SUMIF(ssg7.1,teama9,ssr7.1)</f>
        <v>0</v>
      </c>
      <c r="AN16" s="35">
        <f>SUMIF(ssg7.2,teama9,ssr7.2)</f>
        <v>9</v>
      </c>
      <c r="AO16" s="35">
        <f>SUMIF(ssg7.1,teama9,ssr7.2)</f>
        <v>0</v>
      </c>
      <c r="AP16" s="35">
        <f>SUMIF(ssg7.2,teama9,ssr7.1)</f>
        <v>3</v>
      </c>
      <c r="AQ16" s="35">
        <f>SUMIF(ssg8.1,teama9,ssr8.1)</f>
        <v>0</v>
      </c>
      <c r="AR16" s="35">
        <f>SUMIF(ssg8.2,teama9,ssr8.2)</f>
        <v>12</v>
      </c>
      <c r="AS16" s="35">
        <f>SUMIF(ssg8.1,teama9,ssr8.2)</f>
        <v>0</v>
      </c>
      <c r="AT16" s="35">
        <f>SUMIF(ssg8.2,teama9,ssr8.1)</f>
        <v>5</v>
      </c>
      <c r="AU16" s="35">
        <f>SUMIF(ssg9.1,teama9,ssr9.1)</f>
        <v>10</v>
      </c>
      <c r="AV16" s="35">
        <f>SUMIF(ssg9.2,teama9,ssr9.2)</f>
        <v>0</v>
      </c>
      <c r="AW16" s="35">
        <f>SUMIF(ssg9.1,teama9,ssr9.2)</f>
        <v>5</v>
      </c>
      <c r="AX16" s="35">
        <f>SUMIF(ssg9.2,teama9,ssr9.1)</f>
        <v>0</v>
      </c>
      <c r="AY16" s="33">
        <f t="shared" si="27"/>
        <v>78</v>
      </c>
      <c r="AZ16" s="33">
        <f t="shared" si="28"/>
        <v>55</v>
      </c>
      <c r="BD16" s="6">
        <f t="shared" si="2"/>
        <v>2</v>
      </c>
      <c r="BE16" s="6">
        <f t="shared" si="3"/>
        <v>0</v>
      </c>
      <c r="BF16" s="6">
        <f t="shared" si="4"/>
        <v>2</v>
      </c>
      <c r="BG16" s="6">
        <f t="shared" si="5"/>
        <v>2</v>
      </c>
      <c r="BH16" s="6">
        <f t="shared" si="6"/>
        <v>0</v>
      </c>
      <c r="BI16" s="6">
        <f t="shared" si="7"/>
        <v>0</v>
      </c>
      <c r="BJ16" s="6">
        <f t="shared" si="8"/>
        <v>2</v>
      </c>
      <c r="BK16" s="6">
        <f t="shared" si="9"/>
        <v>2</v>
      </c>
      <c r="BL16" s="6">
        <f t="shared" si="10"/>
        <v>2</v>
      </c>
      <c r="BM16" s="33">
        <f t="shared" si="29"/>
        <v>12</v>
      </c>
      <c r="BP16" s="33">
        <f t="shared" si="30"/>
        <v>12</v>
      </c>
      <c r="BQ16" s="33">
        <f t="shared" si="31"/>
        <v>18</v>
      </c>
      <c r="BR16" s="33">
        <f t="shared" si="32"/>
        <v>15</v>
      </c>
      <c r="BS16" s="33">
        <f t="shared" si="33"/>
        <v>16</v>
      </c>
      <c r="BT16" s="33">
        <f t="shared" si="34"/>
        <v>13</v>
      </c>
      <c r="BU16" s="33">
        <f t="shared" si="35"/>
        <v>15</v>
      </c>
      <c r="BV16" s="33">
        <f t="shared" si="36"/>
        <v>12</v>
      </c>
      <c r="BW16" s="33">
        <f t="shared" si="37"/>
        <v>17</v>
      </c>
      <c r="BX16" s="33">
        <f t="shared" si="38"/>
        <v>15</v>
      </c>
      <c r="BY16" s="33"/>
      <c r="BZ16" s="33">
        <f t="shared" si="11"/>
        <v>9</v>
      </c>
      <c r="CA16" s="6">
        <f t="shared" si="12"/>
        <v>120780459</v>
      </c>
      <c r="CB16" s="6">
        <f t="shared" si="13"/>
        <v>3</v>
      </c>
      <c r="CC16" s="6" t="str">
        <f t="shared" si="14"/>
        <v>Suffolk</v>
      </c>
      <c r="CD16" s="6">
        <f t="shared" si="39"/>
        <v>12</v>
      </c>
      <c r="CE16" s="6">
        <f t="shared" si="40"/>
        <v>78</v>
      </c>
      <c r="CF16" s="6">
        <f t="shared" si="40"/>
        <v>55</v>
      </c>
      <c r="CG16" s="6">
        <f t="shared" si="41"/>
        <v>0</v>
      </c>
      <c r="CH16" s="33">
        <f t="shared" si="42"/>
        <v>9</v>
      </c>
      <c r="CI16" s="33">
        <f t="shared" si="43"/>
        <v>9</v>
      </c>
      <c r="CJ16" s="6">
        <v>9</v>
      </c>
      <c r="CK16" s="36">
        <f t="shared" si="15"/>
        <v>8</v>
      </c>
      <c r="CL16" s="37" t="str">
        <f t="shared" si="16"/>
        <v>South Tyneside</v>
      </c>
      <c r="CM16" s="6">
        <f t="shared" si="17"/>
        <v>9</v>
      </c>
      <c r="CN16" s="6">
        <f t="shared" si="18"/>
        <v>6</v>
      </c>
      <c r="CO16" s="6">
        <f t="shared" si="19"/>
        <v>52</v>
      </c>
      <c r="CP16" s="6">
        <f t="shared" si="20"/>
        <v>75</v>
      </c>
      <c r="CQ16" s="6">
        <f t="shared" si="21"/>
        <v>0</v>
      </c>
      <c r="CR16" s="6">
        <f>((((CN16*1000000)+(CO16*1000)+(CP16-100)*-1))*10)+CQ16</f>
        <v>60520250</v>
      </c>
      <c r="CS16" s="38">
        <f>RANK(CR16,g01tots2)</f>
        <v>9</v>
      </c>
      <c r="CU16" s="39" t="str">
        <f>B16</f>
        <v>Suffolk</v>
      </c>
      <c r="CV16" s="40"/>
    </row>
    <row r="17" spans="1:100" s="6" customFormat="1" ht="18.75">
      <c r="A17" s="43">
        <v>10</v>
      </c>
      <c r="B17" s="44" t="s">
        <v>55</v>
      </c>
      <c r="C17" s="45"/>
      <c r="D17" s="6" t="str">
        <f t="shared" si="0"/>
        <v>Hertfordshire</v>
      </c>
      <c r="E17" s="6" t="str">
        <f t="shared" si="1"/>
        <v>North Tyneside</v>
      </c>
      <c r="F17" s="80" t="str">
        <f t="shared" si="25"/>
        <v>Hertfordshire v. North Tyneside</v>
      </c>
      <c r="G17" s="47">
        <f t="shared" si="26"/>
        <v>2</v>
      </c>
      <c r="H17" s="81">
        <v>4</v>
      </c>
      <c r="I17" s="47" t="s">
        <v>47</v>
      </c>
      <c r="J17" s="82">
        <v>6</v>
      </c>
      <c r="K17" s="33"/>
      <c r="L17" s="83">
        <v>15</v>
      </c>
      <c r="M17" s="83">
        <v>2</v>
      </c>
      <c r="O17" s="35">
        <f>SUMIF(ssg1.1,teama10,ssr1.1)</f>
        <v>0</v>
      </c>
      <c r="P17" s="35">
        <f>SUMIF(ssg1.2,teama10,ssr1.2)</f>
        <v>9</v>
      </c>
      <c r="Q17" s="35">
        <f>SUMIF(ssg1.1,teama10,ssr1.2)</f>
        <v>0</v>
      </c>
      <c r="R17" s="35">
        <f>SUMIF(ssg1.2,teama10,ssr1.1)</f>
        <v>4</v>
      </c>
      <c r="S17" s="35">
        <f>SUMIF(ssg2.1,teama10,ssr2.1)</f>
        <v>0</v>
      </c>
      <c r="T17" s="35">
        <f>SUMIF(ssg2.2,teama10,ssr2.2)</f>
        <v>6</v>
      </c>
      <c r="U17" s="35">
        <f>SUMIF(ssg2.1,teama10,ssr2.2)</f>
        <v>0</v>
      </c>
      <c r="V17" s="35">
        <f>SUMIF(ssg2.2,teama10,ssr2.1)</f>
        <v>8</v>
      </c>
      <c r="W17" s="35">
        <f>SUMIF(ssg3.1,teama10,ssr3.1)</f>
        <v>6</v>
      </c>
      <c r="X17" s="35">
        <f>SUMIF(ssg3.2,teama10,ssr3.2)</f>
        <v>0</v>
      </c>
      <c r="Y17" s="35">
        <f>SUMIF(ssg3.1,teama10,ssr3.2)</f>
        <v>6</v>
      </c>
      <c r="Z17" s="35">
        <f>SUMIF(ssg3.2,teama10,ssr3.1)</f>
        <v>0</v>
      </c>
      <c r="AA17" s="35">
        <f>SUMIF(ssg4.1,teama10,ssr4.1)</f>
        <v>0</v>
      </c>
      <c r="AB17" s="35">
        <f>SUMIF(ssg4.2,teama10,ssr4.2)</f>
        <v>3</v>
      </c>
      <c r="AC17" s="35">
        <f>SUMIF(ssg4.1,teama10,ssr4.2)</f>
        <v>0</v>
      </c>
      <c r="AD17" s="35">
        <f>SUMIF(ssg4.2,teama10,ssr4.1)</f>
        <v>8</v>
      </c>
      <c r="AE17" s="35">
        <f>SUMIF(ssg5.1,teama10,ssr5.1)</f>
        <v>0</v>
      </c>
      <c r="AF17" s="35">
        <f>SUMIF(ssg5.2,teama10,ssr5.2)</f>
        <v>10</v>
      </c>
      <c r="AG17" s="35">
        <f>SUMIF(ssg5.1,teama10,ssr5.2)</f>
        <v>0</v>
      </c>
      <c r="AH17" s="35">
        <f>SUMIF(ssg5.2,teama10,ssr5.1)</f>
        <v>5</v>
      </c>
      <c r="AI17" s="35">
        <f>SUMIF(ssg6.1,teama10,ssr6.1)</f>
        <v>0</v>
      </c>
      <c r="AJ17" s="35">
        <f>SUMIF(ssg6.2,teama10,ssr6.2)</f>
        <v>15</v>
      </c>
      <c r="AK17" s="35">
        <f>SUMIF(ssg6.1,teama10,ssr6.2)</f>
        <v>0</v>
      </c>
      <c r="AL17" s="35">
        <f>SUMIF(ssg6.2,teama10,ssr6.1)</f>
        <v>3</v>
      </c>
      <c r="AM17" s="35">
        <f>SUMIF(ssg7.1,teama10,ssr7.1)</f>
        <v>0</v>
      </c>
      <c r="AN17" s="35">
        <f>SUMIF(ssg7.2,teama10,ssr7.2)</f>
        <v>8</v>
      </c>
      <c r="AO17" s="35">
        <f>SUMIF(ssg7.1,teama10,ssr7.2)</f>
        <v>0</v>
      </c>
      <c r="AP17" s="35">
        <f>SUMIF(ssg7.2,teama10,ssr7.1)</f>
        <v>9</v>
      </c>
      <c r="AQ17" s="35">
        <f>SUMIF(ssg8.1,teama10,ssr8.1)</f>
        <v>9</v>
      </c>
      <c r="AR17" s="35">
        <f>SUMIF(ssg8.2,teama10,ssr8.2)</f>
        <v>0</v>
      </c>
      <c r="AS17" s="35">
        <f>SUMIF(ssg8.1,teama10,ssr8.2)</f>
        <v>7</v>
      </c>
      <c r="AT17" s="35">
        <f>SUMIF(ssg8.2,teama10,ssr8.1)</f>
        <v>0</v>
      </c>
      <c r="AU17" s="35">
        <f>SUMIF(ssg9.1,teama10,ssr9.1)</f>
        <v>0</v>
      </c>
      <c r="AV17" s="35">
        <f>SUMIF(ssg9.2,teama10,ssr9.2)</f>
        <v>5</v>
      </c>
      <c r="AW17" s="35">
        <f>SUMIF(ssg9.1,teama10,ssr9.2)</f>
        <v>0</v>
      </c>
      <c r="AX17" s="35">
        <f>SUMIF(ssg9.2,teama10,ssr9.1)</f>
        <v>10</v>
      </c>
      <c r="AY17" s="33">
        <f t="shared" si="27"/>
        <v>71</v>
      </c>
      <c r="AZ17" s="33">
        <f t="shared" si="28"/>
        <v>60</v>
      </c>
      <c r="BD17" s="6">
        <f t="shared" si="2"/>
        <v>2</v>
      </c>
      <c r="BE17" s="6">
        <f t="shared" si="3"/>
        <v>0</v>
      </c>
      <c r="BF17" s="6">
        <f t="shared" si="4"/>
        <v>1</v>
      </c>
      <c r="BG17" s="6">
        <f t="shared" si="5"/>
        <v>0</v>
      </c>
      <c r="BH17" s="6">
        <f t="shared" si="6"/>
        <v>2</v>
      </c>
      <c r="BI17" s="6">
        <f t="shared" si="7"/>
        <v>2</v>
      </c>
      <c r="BJ17" s="6">
        <f t="shared" si="8"/>
        <v>0</v>
      </c>
      <c r="BK17" s="6">
        <f t="shared" si="9"/>
        <v>2</v>
      </c>
      <c r="BL17" s="6">
        <f t="shared" si="10"/>
        <v>0</v>
      </c>
      <c r="BM17" s="33">
        <f t="shared" si="29"/>
        <v>9</v>
      </c>
      <c r="BP17" s="33">
        <f t="shared" si="30"/>
        <v>13</v>
      </c>
      <c r="BQ17" s="33">
        <f t="shared" si="31"/>
        <v>14</v>
      </c>
      <c r="BR17" s="33">
        <f t="shared" si="32"/>
        <v>12</v>
      </c>
      <c r="BS17" s="33">
        <f t="shared" si="33"/>
        <v>11</v>
      </c>
      <c r="BT17" s="33">
        <f t="shared" si="34"/>
        <v>15</v>
      </c>
      <c r="BU17" s="33">
        <f t="shared" si="35"/>
        <v>18</v>
      </c>
      <c r="BV17" s="33">
        <f t="shared" si="36"/>
        <v>17</v>
      </c>
      <c r="BW17" s="33">
        <f t="shared" si="37"/>
        <v>16</v>
      </c>
      <c r="BX17" s="33">
        <f t="shared" si="38"/>
        <v>15</v>
      </c>
      <c r="BY17" s="33"/>
      <c r="BZ17" s="33">
        <f>COUNTIF(BP17:BX17,"&gt;0")</f>
        <v>9</v>
      </c>
      <c r="CA17" s="6">
        <f t="shared" si="12"/>
        <v>90710410</v>
      </c>
      <c r="CB17" s="6">
        <f t="shared" si="13"/>
        <v>6</v>
      </c>
      <c r="CC17" s="6" t="str">
        <f t="shared" si="14"/>
        <v>Sunderland</v>
      </c>
      <c r="CD17" s="6">
        <f t="shared" si="39"/>
        <v>9</v>
      </c>
      <c r="CE17" s="6">
        <f t="shared" si="40"/>
        <v>71</v>
      </c>
      <c r="CF17" s="6">
        <f t="shared" si="40"/>
        <v>60</v>
      </c>
      <c r="CG17" s="6">
        <f t="shared" si="41"/>
        <v>0</v>
      </c>
      <c r="CH17" s="33">
        <f t="shared" si="42"/>
        <v>10</v>
      </c>
      <c r="CI17" s="33">
        <f t="shared" si="43"/>
        <v>9</v>
      </c>
      <c r="CJ17" s="6">
        <v>10</v>
      </c>
      <c r="CK17" s="36">
        <f t="shared" si="15"/>
        <v>6</v>
      </c>
      <c r="CL17" s="46" t="str">
        <f t="shared" si="16"/>
        <v>North Tyneside</v>
      </c>
      <c r="CM17" s="47">
        <f t="shared" si="17"/>
        <v>9</v>
      </c>
      <c r="CN17" s="47">
        <f t="shared" si="18"/>
        <v>2</v>
      </c>
      <c r="CO17" s="47">
        <f t="shared" si="19"/>
        <v>32</v>
      </c>
      <c r="CP17" s="47">
        <f t="shared" si="20"/>
        <v>109</v>
      </c>
      <c r="CQ17" s="47">
        <f t="shared" si="21"/>
        <v>0</v>
      </c>
      <c r="CR17" s="47">
        <f>((((CN17*1000000)+(CO17*1000)+(CP17-100)*-1))*10)+CQ17</f>
        <v>20319910</v>
      </c>
      <c r="CS17" s="48">
        <f>RANK(CR17,g01tots2)</f>
        <v>10</v>
      </c>
      <c r="CU17" s="49" t="str">
        <f>B17</f>
        <v>Sunderland</v>
      </c>
      <c r="CV17" s="50"/>
    </row>
    <row r="18" spans="1:97" s="6" customFormat="1" ht="18.75">
      <c r="A18" s="33"/>
      <c r="B18" s="36"/>
      <c r="C18" s="45"/>
      <c r="D18" s="6" t="str">
        <f t="shared" si="0"/>
        <v>Norfolk</v>
      </c>
      <c r="E18" s="6" t="str">
        <f t="shared" si="1"/>
        <v>Cambridgeshire</v>
      </c>
      <c r="F18" s="74" t="str">
        <f t="shared" si="25"/>
        <v>Norfolk v. Cambridgeshire</v>
      </c>
      <c r="G18" s="75">
        <f t="shared" si="26"/>
        <v>2</v>
      </c>
      <c r="H18" s="76">
        <v>5</v>
      </c>
      <c r="I18" s="75" t="s">
        <v>47</v>
      </c>
      <c r="J18" s="77">
        <v>1</v>
      </c>
      <c r="K18" s="33"/>
      <c r="L18" s="83">
        <v>7</v>
      </c>
      <c r="M18" s="83">
        <v>13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Y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H18" s="33"/>
      <c r="CI18" s="33"/>
      <c r="CK18" s="36"/>
      <c r="CL18" s="36"/>
      <c r="CS18" s="51"/>
    </row>
    <row r="19" spans="1:97" s="6" customFormat="1" ht="18.75">
      <c r="A19" s="33"/>
      <c r="B19" s="36"/>
      <c r="C19" s="45"/>
      <c r="D19" s="6" t="str">
        <f t="shared" si="0"/>
        <v>Essex</v>
      </c>
      <c r="E19" s="6" t="str">
        <f t="shared" si="1"/>
        <v>Northumberland</v>
      </c>
      <c r="F19" s="78" t="str">
        <f t="shared" si="25"/>
        <v>Essex v. Northumberland</v>
      </c>
      <c r="G19" s="6">
        <f t="shared" si="26"/>
        <v>2</v>
      </c>
      <c r="H19" s="33">
        <v>3</v>
      </c>
      <c r="I19" s="6" t="s">
        <v>47</v>
      </c>
      <c r="J19" s="79">
        <v>7</v>
      </c>
      <c r="K19" s="33"/>
      <c r="L19" s="83">
        <v>3</v>
      </c>
      <c r="M19" s="83">
        <v>12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Y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H19" s="33"/>
      <c r="CI19" s="33"/>
      <c r="CK19" s="36"/>
      <c r="CL19" s="36"/>
      <c r="CS19" s="51"/>
    </row>
    <row r="20" spans="1:97" s="6" customFormat="1" ht="18.75">
      <c r="A20" s="33"/>
      <c r="B20" s="36"/>
      <c r="C20" s="45"/>
      <c r="D20" s="6" t="str">
        <f t="shared" si="0"/>
        <v>Hertfordshire</v>
      </c>
      <c r="E20" s="6" t="str">
        <f t="shared" si="1"/>
        <v>South Tyneside</v>
      </c>
      <c r="F20" s="78" t="str">
        <f t="shared" si="25"/>
        <v>Hertfordshire v. South Tyneside</v>
      </c>
      <c r="G20" s="6">
        <f>IF(ISNUMBER(SEARCH("0",F20)),1,2)</f>
        <v>2</v>
      </c>
      <c r="H20" s="33">
        <v>4</v>
      </c>
      <c r="I20" s="6" t="s">
        <v>47</v>
      </c>
      <c r="J20" s="79">
        <v>8</v>
      </c>
      <c r="K20" s="33"/>
      <c r="L20" s="83">
        <v>9</v>
      </c>
      <c r="M20" s="83">
        <v>3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H20" s="33"/>
      <c r="CI20" s="33"/>
      <c r="CK20" s="36"/>
      <c r="CL20" s="36"/>
      <c r="CS20" s="51"/>
    </row>
    <row r="21" spans="1:97" s="6" customFormat="1" ht="18.75">
      <c r="A21" s="33"/>
      <c r="B21" s="36"/>
      <c r="C21" s="45"/>
      <c r="D21" s="6" t="str">
        <f t="shared" si="0"/>
        <v>Sunderland</v>
      </c>
      <c r="E21" s="6" t="str">
        <f t="shared" si="1"/>
        <v>Durham</v>
      </c>
      <c r="F21" s="78" t="str">
        <f t="shared" si="25"/>
        <v>Sunderland v. Durham</v>
      </c>
      <c r="G21" s="6">
        <f t="shared" si="26"/>
        <v>2</v>
      </c>
      <c r="H21" s="33">
        <v>10</v>
      </c>
      <c r="I21" s="6" t="s">
        <v>47</v>
      </c>
      <c r="J21" s="79">
        <v>2</v>
      </c>
      <c r="K21" s="33"/>
      <c r="L21" s="83">
        <v>6</v>
      </c>
      <c r="M21" s="83">
        <v>6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H21" s="33"/>
      <c r="CI21" s="33"/>
      <c r="CK21" s="36"/>
      <c r="CL21" s="36"/>
      <c r="CS21" s="51"/>
    </row>
    <row r="22" spans="1:97" s="6" customFormat="1" ht="18">
      <c r="A22" s="33"/>
      <c r="B22" s="36"/>
      <c r="D22" s="6" t="str">
        <f t="shared" si="0"/>
        <v>North Tyneside</v>
      </c>
      <c r="E22" s="6" t="str">
        <f t="shared" si="1"/>
        <v>Suffolk</v>
      </c>
      <c r="F22" s="80" t="str">
        <f t="shared" si="25"/>
        <v>North Tyneside v. Suffolk</v>
      </c>
      <c r="G22" s="47">
        <f t="shared" si="26"/>
        <v>2</v>
      </c>
      <c r="H22" s="81">
        <v>6</v>
      </c>
      <c r="I22" s="47" t="s">
        <v>47</v>
      </c>
      <c r="J22" s="82">
        <v>9</v>
      </c>
      <c r="K22" s="33"/>
      <c r="L22" s="83">
        <v>1</v>
      </c>
      <c r="M22" s="83">
        <v>14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H22" s="33"/>
      <c r="CI22" s="33"/>
      <c r="CK22" s="36"/>
      <c r="CL22" s="36"/>
      <c r="CS22" s="51"/>
    </row>
    <row r="23" spans="4:13" ht="18.75">
      <c r="D23" s="6" t="str">
        <f t="shared" si="0"/>
        <v>Norfolk</v>
      </c>
      <c r="E23" s="6" t="str">
        <f t="shared" si="1"/>
        <v>Durham</v>
      </c>
      <c r="F23" s="74" t="str">
        <f t="shared" si="25"/>
        <v>Norfolk v. Durham</v>
      </c>
      <c r="G23" s="75">
        <f t="shared" si="26"/>
        <v>2</v>
      </c>
      <c r="H23" s="76">
        <v>5</v>
      </c>
      <c r="I23" s="75" t="s">
        <v>47</v>
      </c>
      <c r="J23" s="77">
        <v>2</v>
      </c>
      <c r="L23" s="83">
        <v>5</v>
      </c>
      <c r="M23" s="83">
        <v>7</v>
      </c>
    </row>
    <row r="24" spans="4:13" ht="18.75">
      <c r="D24" s="6" t="str">
        <f t="shared" si="0"/>
        <v>Essex</v>
      </c>
      <c r="E24" s="6" t="str">
        <f t="shared" si="1"/>
        <v>South Tyneside</v>
      </c>
      <c r="F24" s="78" t="str">
        <f t="shared" si="25"/>
        <v>Essex v. South Tyneside</v>
      </c>
      <c r="G24" s="6">
        <f t="shared" si="26"/>
        <v>2</v>
      </c>
      <c r="H24" s="33">
        <v>3</v>
      </c>
      <c r="I24" s="6" t="s">
        <v>47</v>
      </c>
      <c r="J24" s="79">
        <v>8</v>
      </c>
      <c r="L24" s="83">
        <v>7</v>
      </c>
      <c r="M24" s="83">
        <v>6</v>
      </c>
    </row>
    <row r="25" spans="4:13" ht="18.75">
      <c r="D25" s="6" t="str">
        <f t="shared" si="0"/>
        <v>North Tyneside</v>
      </c>
      <c r="E25" s="6" t="str">
        <f t="shared" si="1"/>
        <v>Cambridgeshire</v>
      </c>
      <c r="F25" s="78" t="str">
        <f t="shared" si="25"/>
        <v>North Tyneside v. Cambridgeshire</v>
      </c>
      <c r="G25" s="6">
        <f t="shared" si="26"/>
        <v>2</v>
      </c>
      <c r="H25" s="33">
        <v>6</v>
      </c>
      <c r="I25" s="6" t="s">
        <v>47</v>
      </c>
      <c r="J25" s="79">
        <v>1</v>
      </c>
      <c r="L25" s="83">
        <v>2</v>
      </c>
      <c r="M25" s="83">
        <v>10</v>
      </c>
    </row>
    <row r="26" spans="4:13" ht="18.75">
      <c r="D26" s="6" t="str">
        <f t="shared" si="0"/>
        <v>Hertfordshire</v>
      </c>
      <c r="E26" s="6" t="str">
        <f t="shared" si="1"/>
        <v>Suffolk</v>
      </c>
      <c r="F26" s="78" t="str">
        <f t="shared" si="25"/>
        <v>Hertfordshire v. Suffolk</v>
      </c>
      <c r="G26" s="6">
        <f t="shared" si="26"/>
        <v>2</v>
      </c>
      <c r="H26" s="33">
        <v>4</v>
      </c>
      <c r="I26" s="6" t="s">
        <v>47</v>
      </c>
      <c r="J26" s="79">
        <v>9</v>
      </c>
      <c r="L26" s="83">
        <v>5</v>
      </c>
      <c r="M26" s="83">
        <v>11</v>
      </c>
    </row>
    <row r="27" spans="4:13" ht="18.75">
      <c r="D27" s="6" t="str">
        <f t="shared" si="0"/>
        <v>Northumberland</v>
      </c>
      <c r="E27" s="6" t="str">
        <f t="shared" si="1"/>
        <v>Sunderland</v>
      </c>
      <c r="F27" s="80" t="str">
        <f t="shared" si="25"/>
        <v>Northumberland v. Sunderland</v>
      </c>
      <c r="G27" s="47">
        <f t="shared" si="26"/>
        <v>2</v>
      </c>
      <c r="H27" s="81">
        <v>7</v>
      </c>
      <c r="I27" s="47" t="s">
        <v>47</v>
      </c>
      <c r="J27" s="82">
        <v>10</v>
      </c>
      <c r="L27" s="83">
        <v>8</v>
      </c>
      <c r="M27" s="83">
        <v>3</v>
      </c>
    </row>
    <row r="28" spans="4:13" ht="18.75">
      <c r="D28" s="6" t="str">
        <f t="shared" si="0"/>
        <v>Suffolk</v>
      </c>
      <c r="E28" s="6" t="str">
        <f t="shared" si="1"/>
        <v>Durham</v>
      </c>
      <c r="F28" s="74" t="str">
        <f t="shared" si="25"/>
        <v>Suffolk v. Durham</v>
      </c>
      <c r="G28" s="75">
        <f t="shared" si="26"/>
        <v>2</v>
      </c>
      <c r="H28" s="76">
        <v>9</v>
      </c>
      <c r="I28" s="75" t="s">
        <v>47</v>
      </c>
      <c r="J28" s="77">
        <v>2</v>
      </c>
      <c r="L28" s="83">
        <v>4</v>
      </c>
      <c r="M28" s="83">
        <v>9</v>
      </c>
    </row>
    <row r="29" spans="4:13" ht="18.75">
      <c r="D29" s="6" t="str">
        <f t="shared" si="0"/>
        <v>Hertfordshire</v>
      </c>
      <c r="E29" s="6" t="str">
        <f t="shared" si="1"/>
        <v>Sunderland</v>
      </c>
      <c r="F29" s="78" t="str">
        <f t="shared" si="25"/>
        <v>Hertfordshire v. Sunderland</v>
      </c>
      <c r="G29" s="6">
        <f t="shared" si="26"/>
        <v>2</v>
      </c>
      <c r="H29" s="33">
        <v>4</v>
      </c>
      <c r="I29" s="6" t="s">
        <v>47</v>
      </c>
      <c r="J29" s="79">
        <v>10</v>
      </c>
      <c r="L29" s="83">
        <v>5</v>
      </c>
      <c r="M29" s="83">
        <v>10</v>
      </c>
    </row>
    <row r="30" spans="4:13" ht="18.75">
      <c r="D30" s="6" t="str">
        <f t="shared" si="0"/>
        <v>Norfolk</v>
      </c>
      <c r="E30" s="6" t="str">
        <f t="shared" si="1"/>
        <v>Northumberland</v>
      </c>
      <c r="F30" s="78" t="str">
        <f t="shared" si="25"/>
        <v>Norfolk v. Northumberland</v>
      </c>
      <c r="G30" s="6">
        <f t="shared" si="26"/>
        <v>2</v>
      </c>
      <c r="H30" s="33">
        <v>5</v>
      </c>
      <c r="I30" s="6" t="s">
        <v>47</v>
      </c>
      <c r="J30" s="79">
        <v>7</v>
      </c>
      <c r="L30" s="83">
        <v>5</v>
      </c>
      <c r="M30" s="83">
        <v>8</v>
      </c>
    </row>
    <row r="31" spans="4:13" ht="18.75">
      <c r="D31" s="6" t="str">
        <f t="shared" si="0"/>
        <v>North Tyneside</v>
      </c>
      <c r="E31" s="6" t="str">
        <f t="shared" si="1"/>
        <v>South Tyneside</v>
      </c>
      <c r="F31" s="78" t="str">
        <f t="shared" si="25"/>
        <v>North Tyneside v. South Tyneside</v>
      </c>
      <c r="G31" s="6">
        <f t="shared" si="26"/>
        <v>2</v>
      </c>
      <c r="H31" s="33">
        <v>6</v>
      </c>
      <c r="I31" s="6" t="s">
        <v>47</v>
      </c>
      <c r="J31" s="79">
        <v>8</v>
      </c>
      <c r="L31" s="83">
        <v>5</v>
      </c>
      <c r="M31" s="83">
        <v>6</v>
      </c>
    </row>
    <row r="32" spans="4:13" ht="18.75">
      <c r="D32" s="6" t="str">
        <f t="shared" si="0"/>
        <v>Essex</v>
      </c>
      <c r="E32" s="6" t="str">
        <f t="shared" si="1"/>
        <v>Cambridgeshire</v>
      </c>
      <c r="F32" s="80" t="str">
        <f t="shared" si="25"/>
        <v>Essex v. Cambridgeshire</v>
      </c>
      <c r="G32" s="47">
        <f t="shared" si="26"/>
        <v>2</v>
      </c>
      <c r="H32" s="81">
        <v>3</v>
      </c>
      <c r="I32" s="47" t="s">
        <v>47</v>
      </c>
      <c r="J32" s="82">
        <v>1</v>
      </c>
      <c r="L32" s="83">
        <v>8</v>
      </c>
      <c r="M32" s="83">
        <v>7</v>
      </c>
    </row>
    <row r="33" spans="4:13" ht="18.75">
      <c r="D33" s="6" t="str">
        <f t="shared" si="0"/>
        <v>North Tyneside</v>
      </c>
      <c r="E33" s="6" t="str">
        <f t="shared" si="1"/>
        <v>Sunderland</v>
      </c>
      <c r="F33" s="74" t="str">
        <f t="shared" si="25"/>
        <v>North Tyneside v. Sunderland</v>
      </c>
      <c r="G33" s="75">
        <f t="shared" si="26"/>
        <v>2</v>
      </c>
      <c r="H33" s="76">
        <v>6</v>
      </c>
      <c r="I33" s="75" t="s">
        <v>47</v>
      </c>
      <c r="J33" s="77">
        <v>10</v>
      </c>
      <c r="L33" s="83">
        <v>3</v>
      </c>
      <c r="M33" s="83">
        <v>15</v>
      </c>
    </row>
    <row r="34" spans="4:13" ht="18.75">
      <c r="D34" s="6" t="str">
        <f t="shared" si="0"/>
        <v>Norfolk</v>
      </c>
      <c r="E34" s="6" t="str">
        <f t="shared" si="1"/>
        <v>Suffolk</v>
      </c>
      <c r="F34" s="78" t="str">
        <f t="shared" si="25"/>
        <v>Norfolk v. Suffolk</v>
      </c>
      <c r="G34" s="6">
        <f t="shared" si="26"/>
        <v>2</v>
      </c>
      <c r="H34" s="33">
        <v>5</v>
      </c>
      <c r="I34" s="6" t="s">
        <v>47</v>
      </c>
      <c r="J34" s="79">
        <v>9</v>
      </c>
      <c r="L34" s="83">
        <v>13</v>
      </c>
      <c r="M34" s="83">
        <v>2</v>
      </c>
    </row>
    <row r="35" spans="4:13" ht="18.75">
      <c r="D35" s="6" t="str">
        <f t="shared" si="0"/>
        <v>Essex</v>
      </c>
      <c r="E35" s="6" t="str">
        <f t="shared" si="1"/>
        <v>Durham</v>
      </c>
      <c r="F35" s="78" t="str">
        <f t="shared" si="25"/>
        <v>Essex v. Durham</v>
      </c>
      <c r="G35" s="6">
        <f t="shared" si="26"/>
        <v>2</v>
      </c>
      <c r="H35" s="33">
        <v>3</v>
      </c>
      <c r="I35" s="6" t="s">
        <v>47</v>
      </c>
      <c r="J35" s="79">
        <v>2</v>
      </c>
      <c r="L35" s="83">
        <v>4</v>
      </c>
      <c r="M35" s="83">
        <v>11</v>
      </c>
    </row>
    <row r="36" spans="4:13" ht="18.75">
      <c r="D36" s="6" t="str">
        <f t="shared" si="0"/>
        <v>South Tyneside</v>
      </c>
      <c r="E36" s="6" t="str">
        <f t="shared" si="1"/>
        <v>Cambridgeshire</v>
      </c>
      <c r="F36" s="78" t="str">
        <f t="shared" si="25"/>
        <v>South Tyneside v. Cambridgeshire</v>
      </c>
      <c r="G36" s="6">
        <f t="shared" si="26"/>
        <v>2</v>
      </c>
      <c r="H36" s="33">
        <v>8</v>
      </c>
      <c r="I36" s="6" t="s">
        <v>47</v>
      </c>
      <c r="J36" s="79">
        <v>1</v>
      </c>
      <c r="L36" s="83">
        <v>6</v>
      </c>
      <c r="M36" s="83">
        <v>9</v>
      </c>
    </row>
    <row r="37" spans="4:13" ht="18.75">
      <c r="D37" s="6" t="str">
        <f t="shared" si="0"/>
        <v>Hertfordshire</v>
      </c>
      <c r="E37" s="6" t="str">
        <f t="shared" si="1"/>
        <v>Northumberland</v>
      </c>
      <c r="F37" s="80" t="str">
        <f t="shared" si="25"/>
        <v>Hertfordshire v. Northumberland</v>
      </c>
      <c r="G37" s="47">
        <f t="shared" si="26"/>
        <v>2</v>
      </c>
      <c r="H37" s="81">
        <v>4</v>
      </c>
      <c r="I37" s="47" t="s">
        <v>47</v>
      </c>
      <c r="J37" s="82">
        <v>7</v>
      </c>
      <c r="L37" s="83">
        <v>11</v>
      </c>
      <c r="M37" s="83">
        <v>6</v>
      </c>
    </row>
    <row r="38" spans="1:13" ht="18.75">
      <c r="A38" s="33"/>
      <c r="B38" s="36"/>
      <c r="D38" s="6" t="str">
        <f t="shared" si="0"/>
        <v>Essex</v>
      </c>
      <c r="E38" s="6" t="str">
        <f t="shared" si="1"/>
        <v>Suffolk</v>
      </c>
      <c r="F38" s="74" t="str">
        <f t="shared" si="25"/>
        <v>Essex v. Suffolk</v>
      </c>
      <c r="G38" s="75">
        <f t="shared" si="26"/>
        <v>2</v>
      </c>
      <c r="H38" s="76">
        <v>3</v>
      </c>
      <c r="I38" s="75" t="s">
        <v>47</v>
      </c>
      <c r="J38" s="77">
        <v>9</v>
      </c>
      <c r="L38" s="83">
        <v>3</v>
      </c>
      <c r="M38" s="83">
        <v>9</v>
      </c>
    </row>
    <row r="39" spans="1:13" ht="18.75">
      <c r="A39" s="33"/>
      <c r="B39" s="36"/>
      <c r="D39" s="6" t="str">
        <f t="shared" si="0"/>
        <v>North Tyneside</v>
      </c>
      <c r="E39" s="6" t="str">
        <f t="shared" si="1"/>
        <v>Northumberland</v>
      </c>
      <c r="F39" s="78" t="str">
        <f t="shared" si="25"/>
        <v>North Tyneside v. Northumberland</v>
      </c>
      <c r="G39" s="6">
        <f t="shared" si="26"/>
        <v>2</v>
      </c>
      <c r="H39" s="33">
        <v>6</v>
      </c>
      <c r="I39" s="6" t="s">
        <v>47</v>
      </c>
      <c r="J39" s="79">
        <v>7</v>
      </c>
      <c r="L39" s="83">
        <v>6</v>
      </c>
      <c r="M39" s="83">
        <v>16</v>
      </c>
    </row>
    <row r="40" spans="1:13" ht="18.75">
      <c r="A40" s="33"/>
      <c r="B40" s="36"/>
      <c r="D40" s="6" t="str">
        <f t="shared" si="0"/>
        <v>Norfolk</v>
      </c>
      <c r="E40" s="6" t="str">
        <f t="shared" si="1"/>
        <v>Sunderland</v>
      </c>
      <c r="F40" s="78" t="str">
        <f t="shared" si="25"/>
        <v>Norfolk v. Sunderland</v>
      </c>
      <c r="G40" s="6">
        <f t="shared" si="26"/>
        <v>2</v>
      </c>
      <c r="H40" s="33">
        <v>5</v>
      </c>
      <c r="I40" s="6" t="s">
        <v>47</v>
      </c>
      <c r="J40" s="79">
        <v>10</v>
      </c>
      <c r="L40" s="83">
        <v>9</v>
      </c>
      <c r="M40" s="83">
        <v>8</v>
      </c>
    </row>
    <row r="41" spans="1:13" ht="18.75">
      <c r="A41" s="33"/>
      <c r="B41" s="36"/>
      <c r="D41" s="6" t="str">
        <f t="shared" si="0"/>
        <v>Hertfordshire</v>
      </c>
      <c r="E41" s="6" t="str">
        <f t="shared" si="1"/>
        <v>Cambridgeshire</v>
      </c>
      <c r="F41" s="78" t="str">
        <f t="shared" si="25"/>
        <v>Hertfordshire v. Cambridgeshire</v>
      </c>
      <c r="G41" s="6">
        <f t="shared" si="26"/>
        <v>2</v>
      </c>
      <c r="H41" s="33">
        <v>4</v>
      </c>
      <c r="I41" s="6" t="s">
        <v>47</v>
      </c>
      <c r="J41" s="79">
        <v>1</v>
      </c>
      <c r="L41" s="83">
        <v>5</v>
      </c>
      <c r="M41" s="83">
        <v>9</v>
      </c>
    </row>
    <row r="42" spans="1:13" ht="18.75">
      <c r="A42" s="33"/>
      <c r="B42" s="36"/>
      <c r="D42" s="6" t="str">
        <f t="shared" si="0"/>
        <v>South Tyneside</v>
      </c>
      <c r="E42" s="6" t="str">
        <f t="shared" si="1"/>
        <v>Durham</v>
      </c>
      <c r="F42" s="80" t="str">
        <f t="shared" si="25"/>
        <v>South Tyneside v. Durham</v>
      </c>
      <c r="G42" s="47">
        <f t="shared" si="26"/>
        <v>2</v>
      </c>
      <c r="H42" s="81">
        <v>8</v>
      </c>
      <c r="I42" s="47" t="s">
        <v>47</v>
      </c>
      <c r="J42" s="82">
        <v>2</v>
      </c>
      <c r="L42" s="83">
        <v>6</v>
      </c>
      <c r="M42" s="83">
        <v>15</v>
      </c>
    </row>
    <row r="43" spans="1:13" ht="18.75">
      <c r="A43" s="33"/>
      <c r="B43" s="36"/>
      <c r="D43" s="6" t="str">
        <f t="shared" si="0"/>
        <v>Northumberland</v>
      </c>
      <c r="E43" s="6" t="str">
        <f t="shared" si="1"/>
        <v>Suffolk</v>
      </c>
      <c r="F43" s="74" t="str">
        <f t="shared" si="25"/>
        <v>Northumberland v. Suffolk</v>
      </c>
      <c r="G43" s="75">
        <f t="shared" si="26"/>
        <v>2</v>
      </c>
      <c r="H43" s="76">
        <v>7</v>
      </c>
      <c r="I43" s="75" t="s">
        <v>47</v>
      </c>
      <c r="J43" s="77">
        <v>9</v>
      </c>
      <c r="L43" s="83">
        <v>5</v>
      </c>
      <c r="M43" s="83">
        <v>12</v>
      </c>
    </row>
    <row r="44" spans="1:13" ht="18.75">
      <c r="A44" s="33"/>
      <c r="B44" s="36"/>
      <c r="D44" s="6" t="str">
        <f t="shared" si="0"/>
        <v>Sunderland</v>
      </c>
      <c r="E44" s="6" t="str">
        <f t="shared" si="1"/>
        <v>Cambridgeshire</v>
      </c>
      <c r="F44" s="78" t="str">
        <f t="shared" si="25"/>
        <v>Sunderland v. Cambridgeshire</v>
      </c>
      <c r="G44" s="6">
        <f t="shared" si="26"/>
        <v>2</v>
      </c>
      <c r="H44" s="33">
        <v>10</v>
      </c>
      <c r="I44" s="6" t="s">
        <v>47</v>
      </c>
      <c r="J44" s="79">
        <v>1</v>
      </c>
      <c r="L44" s="83">
        <v>9</v>
      </c>
      <c r="M44" s="83">
        <v>7</v>
      </c>
    </row>
    <row r="45" spans="1:13" ht="18.75">
      <c r="A45" s="33"/>
      <c r="B45" s="36"/>
      <c r="D45" s="6" t="str">
        <f t="shared" si="0"/>
        <v>Essex</v>
      </c>
      <c r="E45" s="6" t="str">
        <f t="shared" si="1"/>
        <v>North Tyneside</v>
      </c>
      <c r="F45" s="78" t="str">
        <f t="shared" si="25"/>
        <v>Essex v. North Tyneside</v>
      </c>
      <c r="G45" s="6">
        <f t="shared" si="26"/>
        <v>2</v>
      </c>
      <c r="H45" s="33">
        <v>3</v>
      </c>
      <c r="I45" s="6" t="s">
        <v>47</v>
      </c>
      <c r="J45" s="79">
        <v>6</v>
      </c>
      <c r="L45" s="83">
        <v>12</v>
      </c>
      <c r="M45" s="83">
        <v>3</v>
      </c>
    </row>
    <row r="46" spans="1:13" ht="18.75">
      <c r="A46" s="33"/>
      <c r="B46" s="36"/>
      <c r="D46" s="6" t="str">
        <f t="shared" si="0"/>
        <v>Hertfordshire</v>
      </c>
      <c r="E46" s="6" t="str">
        <f t="shared" si="1"/>
        <v>Durham</v>
      </c>
      <c r="F46" s="78" t="str">
        <f t="shared" si="25"/>
        <v>Hertfordshire v. Durham</v>
      </c>
      <c r="G46" s="6">
        <f t="shared" si="26"/>
        <v>2</v>
      </c>
      <c r="H46" s="33">
        <v>4</v>
      </c>
      <c r="I46" s="6" t="s">
        <v>47</v>
      </c>
      <c r="J46" s="79">
        <v>2</v>
      </c>
      <c r="L46" s="83">
        <v>4</v>
      </c>
      <c r="M46" s="83">
        <v>11</v>
      </c>
    </row>
    <row r="47" spans="1:13" ht="18.75">
      <c r="A47" s="33"/>
      <c r="B47" s="36"/>
      <c r="D47" s="6" t="str">
        <f t="shared" si="0"/>
        <v>Norfolk</v>
      </c>
      <c r="E47" s="6" t="str">
        <f t="shared" si="1"/>
        <v>South Tyneside</v>
      </c>
      <c r="F47" s="80" t="str">
        <f t="shared" si="25"/>
        <v>Norfolk v. South Tyneside</v>
      </c>
      <c r="G47" s="47">
        <f t="shared" si="26"/>
        <v>2</v>
      </c>
      <c r="H47" s="81">
        <v>5</v>
      </c>
      <c r="I47" s="47" t="s">
        <v>47</v>
      </c>
      <c r="J47" s="82">
        <v>8</v>
      </c>
      <c r="L47" s="83">
        <v>9</v>
      </c>
      <c r="M47" s="83">
        <v>5</v>
      </c>
    </row>
    <row r="48" spans="4:13" ht="18.75">
      <c r="D48" s="6" t="str">
        <f t="shared" si="0"/>
        <v>Cambridgeshire</v>
      </c>
      <c r="E48" s="6" t="str">
        <f t="shared" si="1"/>
        <v>Durham</v>
      </c>
      <c r="F48" s="74" t="str">
        <f t="shared" si="25"/>
        <v>Cambridgeshire v. Durham</v>
      </c>
      <c r="G48" s="75">
        <f t="shared" si="26"/>
        <v>2</v>
      </c>
      <c r="H48" s="76">
        <v>1</v>
      </c>
      <c r="I48" s="75" t="s">
        <v>47</v>
      </c>
      <c r="J48" s="77">
        <v>2</v>
      </c>
      <c r="L48" s="83">
        <v>10</v>
      </c>
      <c r="M48" s="83">
        <v>5</v>
      </c>
    </row>
    <row r="49" spans="4:13" ht="18.75">
      <c r="D49" s="6" t="str">
        <f t="shared" si="0"/>
        <v>Essex</v>
      </c>
      <c r="E49" s="6" t="str">
        <f t="shared" si="1"/>
        <v>Hertfordshire</v>
      </c>
      <c r="F49" s="78" t="str">
        <f t="shared" si="25"/>
        <v>Essex v. Hertfordshire</v>
      </c>
      <c r="G49" s="6">
        <f t="shared" si="26"/>
        <v>2</v>
      </c>
      <c r="H49" s="33">
        <v>3</v>
      </c>
      <c r="I49" s="6" t="s">
        <v>47</v>
      </c>
      <c r="J49" s="79">
        <v>4</v>
      </c>
      <c r="L49" s="83">
        <v>6</v>
      </c>
      <c r="M49" s="83">
        <v>9</v>
      </c>
    </row>
    <row r="50" spans="4:13" ht="18.75">
      <c r="D50" s="6" t="str">
        <f t="shared" si="0"/>
        <v>Norfolk</v>
      </c>
      <c r="E50" s="6" t="str">
        <f t="shared" si="1"/>
        <v>North Tyneside</v>
      </c>
      <c r="F50" s="78" t="str">
        <f t="shared" si="25"/>
        <v>Norfolk v. North Tyneside</v>
      </c>
      <c r="G50" s="6">
        <f t="shared" si="26"/>
        <v>2</v>
      </c>
      <c r="H50" s="33">
        <v>5</v>
      </c>
      <c r="I50" s="6" t="s">
        <v>47</v>
      </c>
      <c r="J50" s="79">
        <v>6</v>
      </c>
      <c r="L50" s="83">
        <v>5</v>
      </c>
      <c r="M50" s="83">
        <v>7</v>
      </c>
    </row>
    <row r="51" spans="4:13" ht="18.75">
      <c r="D51" s="6" t="str">
        <f t="shared" si="0"/>
        <v>Northumberland</v>
      </c>
      <c r="E51" s="6" t="str">
        <f t="shared" si="1"/>
        <v>South Tyneside</v>
      </c>
      <c r="F51" s="78" t="str">
        <f t="shared" si="25"/>
        <v>Northumberland v. South Tyneside</v>
      </c>
      <c r="G51" s="6">
        <f t="shared" si="26"/>
        <v>2</v>
      </c>
      <c r="H51" s="33">
        <v>7</v>
      </c>
      <c r="I51" s="6" t="s">
        <v>47</v>
      </c>
      <c r="J51" s="79">
        <v>8</v>
      </c>
      <c r="L51" s="83">
        <v>5</v>
      </c>
      <c r="M51" s="83">
        <v>10</v>
      </c>
    </row>
    <row r="52" spans="4:13" ht="18.75">
      <c r="D52" s="6" t="str">
        <f t="shared" si="0"/>
        <v>Suffolk</v>
      </c>
      <c r="E52" s="6" t="str">
        <f t="shared" si="1"/>
        <v>Sunderland</v>
      </c>
      <c r="F52" s="80" t="str">
        <f t="shared" si="25"/>
        <v>Suffolk v. Sunderland</v>
      </c>
      <c r="G52" s="47">
        <f t="shared" si="26"/>
        <v>2</v>
      </c>
      <c r="H52" s="81">
        <v>9</v>
      </c>
      <c r="I52" s="47" t="s">
        <v>47</v>
      </c>
      <c r="J52" s="82">
        <v>10</v>
      </c>
      <c r="L52" s="83">
        <v>10</v>
      </c>
      <c r="M52" s="83">
        <v>5</v>
      </c>
    </row>
    <row r="53" spans="4:6" ht="18.75">
      <c r="D53" s="6"/>
      <c r="E53" s="6"/>
      <c r="F53" s="6"/>
    </row>
  </sheetData>
  <sheetProtection sheet="1" selectLockedCells="1"/>
  <mergeCells count="14">
    <mergeCell ref="CL2:CS4"/>
    <mergeCell ref="F3:M3"/>
    <mergeCell ref="AY6:AZ6"/>
    <mergeCell ref="BD6:BG6"/>
    <mergeCell ref="CL6:CS6"/>
    <mergeCell ref="AA6:AC6"/>
    <mergeCell ref="A2:B4"/>
    <mergeCell ref="F2:M2"/>
    <mergeCell ref="S6:U6"/>
    <mergeCell ref="W6:Y6"/>
    <mergeCell ref="L7:M7"/>
    <mergeCell ref="O6:Q6"/>
    <mergeCell ref="A6:B6"/>
    <mergeCell ref="F6:M6"/>
  </mergeCells>
  <conditionalFormatting sqref="CK21:CP22">
    <cfRule type="expression" priority="11" dxfId="3" stopIfTrue="1">
      <formula>IF($CL21:$CL63=0,1,0)</formula>
    </cfRule>
  </conditionalFormatting>
  <conditionalFormatting sqref="CU21:CU22">
    <cfRule type="expression" priority="10" dxfId="3" stopIfTrue="1">
      <formula>IF($CU21:$CU63=0,1,0)</formula>
    </cfRule>
  </conditionalFormatting>
  <conditionalFormatting sqref="CU8:CU17">
    <cfRule type="expression" priority="9" dxfId="3" stopIfTrue="1">
      <formula>IF($CU8:$CU17=0,1,0)</formula>
    </cfRule>
  </conditionalFormatting>
  <conditionalFormatting sqref="L8:M52">
    <cfRule type="expression" priority="8" dxfId="2" stopIfTrue="1">
      <formula>IF($E8:$E52=blankcell,1,0)</formula>
    </cfRule>
  </conditionalFormatting>
  <conditionalFormatting sqref="CK8:CP12 CK13:CK18">
    <cfRule type="expression" priority="7" dxfId="3" stopIfTrue="1">
      <formula>IF($CL8:$CL17=0,1,0)</formula>
    </cfRule>
  </conditionalFormatting>
  <conditionalFormatting sqref="CK19:CP20">
    <cfRule type="expression" priority="6" dxfId="3" stopIfTrue="1">
      <formula>IF($CL19:$CL62=0,1,0)</formula>
    </cfRule>
  </conditionalFormatting>
  <conditionalFormatting sqref="CU19:CU20">
    <cfRule type="expression" priority="5" dxfId="3" stopIfTrue="1">
      <formula>IF($CU19:$CU62=0,1,0)</formula>
    </cfRule>
  </conditionalFormatting>
  <conditionalFormatting sqref="H8:J52">
    <cfRule type="expression" priority="4" dxfId="3" stopIfTrue="1">
      <formula>$G8:$G22=1</formula>
    </cfRule>
  </conditionalFormatting>
  <conditionalFormatting sqref="F7:F53 F5 F2:F3">
    <cfRule type="containsText" priority="3" dxfId="3" operator="containsText" stopIfTrue="1" text="0">
      <formula>NOT(ISERROR(SEARCH("0",F2)))</formula>
    </cfRule>
  </conditionalFormatting>
  <conditionalFormatting sqref="B8:B17">
    <cfRule type="containsText" priority="2" dxfId="2" operator="containsText" stopIfTrue="1" text="0">
      <formula>NOT(ISERROR(SEARCH("0",B8)))</formula>
    </cfRule>
  </conditionalFormatting>
  <conditionalFormatting sqref="CS8:CS22">
    <cfRule type="duplicateValues" priority="1" dxfId="1" stopIfTrue="1">
      <formula>AND(COUNTIF($CS$8:$CS$22,CS8)&gt;1,NOT(ISBLANK(CS8)))</formula>
    </cfRule>
  </conditionalFormatting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53"/>
  <sheetViews>
    <sheetView zoomScalePageLayoutView="0" workbookViewId="0" topLeftCell="CL1">
      <selection activeCell="M51" sqref="M51"/>
    </sheetView>
  </sheetViews>
  <sheetFormatPr defaultColWidth="9.140625" defaultRowHeight="15"/>
  <cols>
    <col min="1" max="1" width="5.7109375" style="1" customWidth="1"/>
    <col min="2" max="2" width="20.7109375" style="1" customWidth="1"/>
    <col min="3" max="3" width="2.7109375" style="1" customWidth="1"/>
    <col min="4" max="5" width="18.00390625" style="1" hidden="1" customWidth="1"/>
    <col min="6" max="6" width="40.7109375" style="1" customWidth="1"/>
    <col min="7" max="7" width="2.8515625" style="1" hidden="1" customWidth="1"/>
    <col min="8" max="8" width="4.7109375" style="2" customWidth="1"/>
    <col min="9" max="9" width="2.7109375" style="2" customWidth="1"/>
    <col min="10" max="10" width="4.7109375" style="2" customWidth="1"/>
    <col min="11" max="11" width="2.7109375" style="1" customWidth="1"/>
    <col min="12" max="13" width="5.7109375" style="1" customWidth="1"/>
    <col min="14" max="14" width="2.7109375" style="1" customWidth="1"/>
    <col min="15" max="15" width="2.8515625" style="1" hidden="1" customWidth="1"/>
    <col min="16" max="17" width="4.421875" style="1" hidden="1" customWidth="1"/>
    <col min="18" max="19" width="2.8515625" style="1" hidden="1" customWidth="1"/>
    <col min="20" max="21" width="4.421875" style="1" hidden="1" customWidth="1"/>
    <col min="22" max="23" width="2.8515625" style="1" hidden="1" customWidth="1"/>
    <col min="24" max="25" width="4.421875" style="1" hidden="1" customWidth="1"/>
    <col min="26" max="27" width="2.8515625" style="1" hidden="1" customWidth="1"/>
    <col min="28" max="29" width="4.421875" style="1" hidden="1" customWidth="1"/>
    <col min="30" max="31" width="2.8515625" style="1" hidden="1" customWidth="1"/>
    <col min="32" max="33" width="4.421875" style="1" hidden="1" customWidth="1"/>
    <col min="34" max="35" width="2.8515625" style="1" hidden="1" customWidth="1"/>
    <col min="36" max="37" width="4.421875" style="1" hidden="1" customWidth="1"/>
    <col min="38" max="39" width="2.8515625" style="1" hidden="1" customWidth="1"/>
    <col min="40" max="41" width="4.421875" style="1" hidden="1" customWidth="1"/>
    <col min="42" max="43" width="2.8515625" style="1" hidden="1" customWidth="1"/>
    <col min="44" max="45" width="4.421875" style="1" hidden="1" customWidth="1"/>
    <col min="46" max="47" width="2.8515625" style="1" hidden="1" customWidth="1"/>
    <col min="48" max="49" width="4.421875" style="1" hidden="1" customWidth="1"/>
    <col min="50" max="50" width="2.8515625" style="1" hidden="1" customWidth="1"/>
    <col min="51" max="51" width="5.8515625" style="1" hidden="1" customWidth="1"/>
    <col min="52" max="52" width="11.28125" style="1" hidden="1" customWidth="1"/>
    <col min="53" max="55" width="2.7109375" style="1" hidden="1" customWidth="1"/>
    <col min="56" max="64" width="11.28125" style="1" hidden="1" customWidth="1"/>
    <col min="65" max="65" width="8.00390625" style="1" hidden="1" customWidth="1"/>
    <col min="66" max="67" width="2.7109375" style="1" hidden="1" customWidth="1"/>
    <col min="68" max="76" width="11.28125" style="1" hidden="1" customWidth="1"/>
    <col min="77" max="77" width="2.7109375" style="1" hidden="1" customWidth="1"/>
    <col min="78" max="78" width="2.8515625" style="1" hidden="1" customWidth="1"/>
    <col min="79" max="79" width="15.57421875" style="1" hidden="1" customWidth="1"/>
    <col min="80" max="80" width="4.421875" style="1" hidden="1" customWidth="1"/>
    <col min="81" max="81" width="18.00390625" style="1" hidden="1" customWidth="1"/>
    <col min="82" max="82" width="5.57421875" style="1" hidden="1" customWidth="1"/>
    <col min="83" max="84" width="4.421875" style="1" hidden="1" customWidth="1"/>
    <col min="85" max="85" width="3.28125" style="1" hidden="1" customWidth="1"/>
    <col min="86" max="86" width="4.421875" style="1" hidden="1" customWidth="1"/>
    <col min="87" max="87" width="5.57421875" style="1" hidden="1" customWidth="1"/>
    <col min="88" max="88" width="4.421875" style="1" hidden="1" customWidth="1"/>
    <col min="89" max="89" width="4.8515625" style="1" hidden="1" customWidth="1"/>
    <col min="90" max="90" width="20.7109375" style="1" customWidth="1"/>
    <col min="91" max="94" width="5.7109375" style="1" customWidth="1"/>
    <col min="95" max="95" width="2.7109375" style="1" customWidth="1"/>
    <col min="96" max="96" width="15.57421875" style="1" hidden="1" customWidth="1"/>
    <col min="97" max="97" width="7.7109375" style="1" customWidth="1"/>
    <col min="98" max="98" width="9.140625" style="1" customWidth="1"/>
    <col min="99" max="99" width="18.00390625" style="1" bestFit="1" customWidth="1"/>
    <col min="100" max="100" width="5.28125" style="1" bestFit="1" customWidth="1"/>
    <col min="101" max="101" width="7.8515625" style="1" bestFit="1" customWidth="1"/>
    <col min="102" max="102" width="5.28125" style="1" bestFit="1" customWidth="1"/>
    <col min="103" max="103" width="8.140625" style="1" bestFit="1" customWidth="1"/>
    <col min="104" max="104" width="5.28125" style="1" bestFit="1" customWidth="1"/>
    <col min="105" max="16384" width="9.140625" style="1" customWidth="1"/>
  </cols>
  <sheetData>
    <row r="1" spans="4:96" ht="18.75">
      <c r="D1" s="1" t="s">
        <v>0</v>
      </c>
      <c r="E1" s="1" t="s">
        <v>0</v>
      </c>
      <c r="G1" s="1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  <c r="Y1" s="3" t="s">
        <v>0</v>
      </c>
      <c r="Z1" s="3" t="s">
        <v>0</v>
      </c>
      <c r="AA1" s="3" t="s">
        <v>0</v>
      </c>
      <c r="AB1" s="3" t="s">
        <v>0</v>
      </c>
      <c r="AC1" s="3" t="s">
        <v>0</v>
      </c>
      <c r="AD1" s="3" t="s">
        <v>0</v>
      </c>
      <c r="AE1" s="3" t="s">
        <v>0</v>
      </c>
      <c r="AF1" s="3" t="s">
        <v>0</v>
      </c>
      <c r="AG1" s="3" t="s">
        <v>0</v>
      </c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 t="s">
        <v>0</v>
      </c>
      <c r="AQ1" s="3" t="s">
        <v>0</v>
      </c>
      <c r="AR1" s="3" t="s">
        <v>0</v>
      </c>
      <c r="AS1" s="3" t="s">
        <v>0</v>
      </c>
      <c r="AT1" s="3" t="s">
        <v>0</v>
      </c>
      <c r="AU1" s="3" t="s">
        <v>0</v>
      </c>
      <c r="AV1" s="3" t="s">
        <v>0</v>
      </c>
      <c r="AW1" s="3" t="s">
        <v>0</v>
      </c>
      <c r="AX1" s="3" t="s">
        <v>0</v>
      </c>
      <c r="AY1" s="3" t="s">
        <v>0</v>
      </c>
      <c r="AZ1" s="3" t="s">
        <v>0</v>
      </c>
      <c r="BA1" s="3" t="s">
        <v>0</v>
      </c>
      <c r="BB1" s="3" t="s">
        <v>0</v>
      </c>
      <c r="BC1" s="3" t="s">
        <v>0</v>
      </c>
      <c r="BD1" s="3" t="s">
        <v>0</v>
      </c>
      <c r="BE1" s="3" t="s">
        <v>0</v>
      </c>
      <c r="BF1" s="3" t="s">
        <v>0</v>
      </c>
      <c r="BG1" s="3" t="s">
        <v>0</v>
      </c>
      <c r="BH1" s="3" t="s">
        <v>0</v>
      </c>
      <c r="BI1" s="3" t="s">
        <v>0</v>
      </c>
      <c r="BJ1" s="3" t="s">
        <v>0</v>
      </c>
      <c r="BK1" s="3" t="s">
        <v>0</v>
      </c>
      <c r="BL1" s="3" t="s">
        <v>0</v>
      </c>
      <c r="BM1" s="3" t="s">
        <v>0</v>
      </c>
      <c r="BN1" s="4" t="s">
        <v>0</v>
      </c>
      <c r="BO1" s="4" t="s">
        <v>0</v>
      </c>
      <c r="BP1" s="4" t="s">
        <v>0</v>
      </c>
      <c r="BQ1" s="4" t="s">
        <v>0</v>
      </c>
      <c r="BR1" s="4" t="s">
        <v>0</v>
      </c>
      <c r="BS1" s="4" t="s">
        <v>0</v>
      </c>
      <c r="BT1" s="4" t="s">
        <v>0</v>
      </c>
      <c r="BU1" s="4" t="s">
        <v>0</v>
      </c>
      <c r="BV1" s="4" t="s">
        <v>0</v>
      </c>
      <c r="BW1" s="4" t="s">
        <v>0</v>
      </c>
      <c r="BX1" s="4" t="s">
        <v>0</v>
      </c>
      <c r="BY1" s="4" t="s">
        <v>0</v>
      </c>
      <c r="BZ1" s="4" t="s">
        <v>0</v>
      </c>
      <c r="CA1" s="4" t="s">
        <v>0</v>
      </c>
      <c r="CB1" s="4" t="s">
        <v>0</v>
      </c>
      <c r="CC1" s="4" t="s">
        <v>0</v>
      </c>
      <c r="CD1" s="4" t="s">
        <v>0</v>
      </c>
      <c r="CE1" s="4" t="s">
        <v>0</v>
      </c>
      <c r="CF1" s="4" t="s">
        <v>0</v>
      </c>
      <c r="CG1" s="4" t="s">
        <v>0</v>
      </c>
      <c r="CH1" s="4" t="s">
        <v>0</v>
      </c>
      <c r="CI1" s="4" t="s">
        <v>0</v>
      </c>
      <c r="CJ1" s="4" t="s">
        <v>0</v>
      </c>
      <c r="CK1" s="5" t="s">
        <v>0</v>
      </c>
      <c r="CR1" s="1" t="s">
        <v>0</v>
      </c>
    </row>
    <row r="2" spans="1:104" s="4" customFormat="1" ht="18.75">
      <c r="A2" s="128" t="s">
        <v>56</v>
      </c>
      <c r="B2" s="129"/>
      <c r="F2" s="119" t="s">
        <v>2</v>
      </c>
      <c r="G2" s="120"/>
      <c r="H2" s="120"/>
      <c r="I2" s="120"/>
      <c r="J2" s="120"/>
      <c r="K2" s="120"/>
      <c r="L2" s="120"/>
      <c r="M2" s="120"/>
      <c r="CL2" s="130" t="str">
        <f>singles!CL2</f>
        <v>Saturday 11th and  Sunday 12th June 2011 at The Norbreck Castle Hotel, Blackpool</v>
      </c>
      <c r="CM2" s="107"/>
      <c r="CN2" s="107"/>
      <c r="CO2" s="107"/>
      <c r="CP2" s="107"/>
      <c r="CQ2" s="107"/>
      <c r="CR2" s="107"/>
      <c r="CS2" s="107"/>
      <c r="CV2" s="4" t="s">
        <v>3</v>
      </c>
      <c r="CX2" s="4" t="s">
        <v>3</v>
      </c>
      <c r="CZ2" s="4" t="s">
        <v>3</v>
      </c>
    </row>
    <row r="3" spans="1:97" s="4" customFormat="1" ht="18.75">
      <c r="A3" s="128"/>
      <c r="B3" s="129"/>
      <c r="F3" s="119" t="s">
        <v>4</v>
      </c>
      <c r="G3" s="120"/>
      <c r="H3" s="120"/>
      <c r="I3" s="120"/>
      <c r="J3" s="120"/>
      <c r="K3" s="120"/>
      <c r="L3" s="120"/>
      <c r="M3" s="120"/>
      <c r="CL3" s="130"/>
      <c r="CM3" s="107"/>
      <c r="CN3" s="107"/>
      <c r="CO3" s="107"/>
      <c r="CP3" s="107"/>
      <c r="CQ3" s="107"/>
      <c r="CR3" s="107"/>
      <c r="CS3" s="107"/>
    </row>
    <row r="4" spans="1:104" s="4" customFormat="1" ht="18">
      <c r="A4" s="129"/>
      <c r="B4" s="12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Z4" s="6"/>
      <c r="CK4" s="5"/>
      <c r="CL4" s="107"/>
      <c r="CM4" s="107"/>
      <c r="CN4" s="107"/>
      <c r="CO4" s="107"/>
      <c r="CP4" s="107"/>
      <c r="CQ4" s="107"/>
      <c r="CR4" s="107"/>
      <c r="CS4" s="107"/>
      <c r="CU4" s="7" t="s">
        <v>5</v>
      </c>
      <c r="CV4" s="7">
        <v>2</v>
      </c>
      <c r="CW4" s="7" t="s">
        <v>6</v>
      </c>
      <c r="CX4" s="7">
        <v>0</v>
      </c>
      <c r="CY4" s="7" t="s">
        <v>7</v>
      </c>
      <c r="CZ4" s="7">
        <v>1</v>
      </c>
    </row>
    <row r="5" spans="1:104" s="10" customFormat="1" ht="19.5" thickBot="1">
      <c r="A5" s="8"/>
      <c r="B5" s="9"/>
      <c r="F5" s="11"/>
      <c r="H5" s="12"/>
      <c r="I5" s="12"/>
      <c r="J5" s="1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Z5" s="12"/>
      <c r="CK5" s="13"/>
      <c r="CL5" s="14"/>
      <c r="CM5" s="15"/>
      <c r="CN5" s="15"/>
      <c r="CO5" s="15"/>
      <c r="CP5" s="15"/>
      <c r="CQ5" s="15"/>
      <c r="CR5" s="15"/>
      <c r="CS5" s="15"/>
      <c r="CU5" s="16"/>
      <c r="CV5" s="16"/>
      <c r="CW5" s="16"/>
      <c r="CX5" s="16"/>
      <c r="CY5" s="16"/>
      <c r="CZ5" s="16"/>
    </row>
    <row r="6" spans="1:97" s="17" customFormat="1" ht="19.5" thickBot="1">
      <c r="A6" s="112" t="s">
        <v>8</v>
      </c>
      <c r="B6" s="113"/>
      <c r="F6" s="114" t="s">
        <v>9</v>
      </c>
      <c r="G6" s="115"/>
      <c r="H6" s="115"/>
      <c r="I6" s="115"/>
      <c r="J6" s="115"/>
      <c r="K6" s="115"/>
      <c r="L6" s="115"/>
      <c r="M6" s="116"/>
      <c r="O6" s="110"/>
      <c r="P6" s="110"/>
      <c r="Q6" s="111"/>
      <c r="R6" s="18"/>
      <c r="S6" s="110"/>
      <c r="T6" s="110"/>
      <c r="U6" s="111"/>
      <c r="V6" s="18"/>
      <c r="W6" s="110"/>
      <c r="X6" s="110"/>
      <c r="Y6" s="111"/>
      <c r="Z6" s="18"/>
      <c r="AA6" s="110"/>
      <c r="AB6" s="110"/>
      <c r="AC6" s="111"/>
      <c r="AD6" s="18"/>
      <c r="AY6" s="123" t="s">
        <v>10</v>
      </c>
      <c r="AZ6" s="123"/>
      <c r="BD6" s="123" t="s">
        <v>11</v>
      </c>
      <c r="BE6" s="123"/>
      <c r="BF6" s="123"/>
      <c r="BG6" s="124"/>
      <c r="BH6" s="19"/>
      <c r="BI6" s="19"/>
      <c r="BJ6" s="19"/>
      <c r="BK6" s="19"/>
      <c r="BL6" s="19"/>
      <c r="BM6" s="20"/>
      <c r="BN6" s="19"/>
      <c r="BO6" s="19"/>
      <c r="BP6" s="21" t="s">
        <v>10</v>
      </c>
      <c r="BQ6" s="22"/>
      <c r="BR6" s="22"/>
      <c r="BS6" s="23"/>
      <c r="BT6" s="23"/>
      <c r="BU6" s="23"/>
      <c r="BV6" s="23"/>
      <c r="BW6" s="23"/>
      <c r="BX6" s="23"/>
      <c r="BY6" s="23"/>
      <c r="CK6" s="24"/>
      <c r="CL6" s="125" t="s">
        <v>12</v>
      </c>
      <c r="CM6" s="126"/>
      <c r="CN6" s="126"/>
      <c r="CO6" s="126"/>
      <c r="CP6" s="126"/>
      <c r="CQ6" s="126"/>
      <c r="CR6" s="126"/>
      <c r="CS6" s="127"/>
    </row>
    <row r="7" spans="1:100" s="17" customFormat="1" ht="18.75" thickBot="1">
      <c r="A7" s="25" t="s">
        <v>13</v>
      </c>
      <c r="B7" s="26" t="s">
        <v>14</v>
      </c>
      <c r="D7" s="17" t="s">
        <v>15</v>
      </c>
      <c r="E7" s="17" t="s">
        <v>16</v>
      </c>
      <c r="F7" s="27"/>
      <c r="L7" s="109" t="s">
        <v>17</v>
      </c>
      <c r="M7" s="109"/>
      <c r="O7" s="28" t="s">
        <v>18</v>
      </c>
      <c r="P7" s="28"/>
      <c r="Q7" s="28"/>
      <c r="R7" s="28"/>
      <c r="S7" s="28" t="s">
        <v>19</v>
      </c>
      <c r="T7" s="28"/>
      <c r="U7" s="28"/>
      <c r="V7" s="28"/>
      <c r="W7" s="28" t="s">
        <v>20</v>
      </c>
      <c r="X7" s="28"/>
      <c r="Y7" s="28"/>
      <c r="Z7" s="28"/>
      <c r="AA7" s="28" t="s">
        <v>21</v>
      </c>
      <c r="AB7" s="28"/>
      <c r="AC7" s="28"/>
      <c r="AD7" s="28"/>
      <c r="AE7" s="28" t="s">
        <v>22</v>
      </c>
      <c r="AF7" s="28"/>
      <c r="AG7" s="28"/>
      <c r="AH7" s="28"/>
      <c r="AI7" s="28" t="s">
        <v>23</v>
      </c>
      <c r="AJ7" s="28"/>
      <c r="AK7" s="28"/>
      <c r="AL7" s="28"/>
      <c r="AM7" s="28" t="s">
        <v>24</v>
      </c>
      <c r="AN7" s="28"/>
      <c r="AO7" s="28"/>
      <c r="AP7" s="28"/>
      <c r="AQ7" s="28" t="s">
        <v>25</v>
      </c>
      <c r="AR7" s="28"/>
      <c r="AS7" s="28"/>
      <c r="AT7" s="28"/>
      <c r="AU7" s="28" t="s">
        <v>26</v>
      </c>
      <c r="AV7" s="28"/>
      <c r="AW7" s="28"/>
      <c r="AY7" s="17" t="s">
        <v>27</v>
      </c>
      <c r="AZ7" s="17" t="s">
        <v>28</v>
      </c>
      <c r="BD7" s="17" t="s">
        <v>29</v>
      </c>
      <c r="BE7" s="17" t="s">
        <v>30</v>
      </c>
      <c r="BF7" s="17" t="s">
        <v>31</v>
      </c>
      <c r="BG7" s="17" t="s">
        <v>32</v>
      </c>
      <c r="BH7" s="17" t="s">
        <v>33</v>
      </c>
      <c r="BI7" s="17" t="s">
        <v>34</v>
      </c>
      <c r="BJ7" s="17" t="s">
        <v>35</v>
      </c>
      <c r="BK7" s="17" t="s">
        <v>36</v>
      </c>
      <c r="BL7" s="17" t="s">
        <v>37</v>
      </c>
      <c r="BM7" s="20" t="s">
        <v>38</v>
      </c>
      <c r="BP7" s="17" t="s">
        <v>29</v>
      </c>
      <c r="BQ7" s="17" t="s">
        <v>30</v>
      </c>
      <c r="BR7" s="17" t="s">
        <v>31</v>
      </c>
      <c r="BS7" s="17" t="s">
        <v>32</v>
      </c>
      <c r="BT7" s="17" t="s">
        <v>33</v>
      </c>
      <c r="BU7" s="17" t="s">
        <v>34</v>
      </c>
      <c r="BV7" s="17" t="s">
        <v>35</v>
      </c>
      <c r="BW7" s="17" t="s">
        <v>36</v>
      </c>
      <c r="BX7" s="17" t="s">
        <v>37</v>
      </c>
      <c r="CD7" s="17" t="s">
        <v>3</v>
      </c>
      <c r="CE7" s="17" t="s">
        <v>39</v>
      </c>
      <c r="CF7" s="17" t="s">
        <v>40</v>
      </c>
      <c r="CG7" s="17" t="s">
        <v>41</v>
      </c>
      <c r="CI7" s="17" t="s">
        <v>42</v>
      </c>
      <c r="CK7" s="24" t="s">
        <v>43</v>
      </c>
      <c r="CL7" s="29"/>
      <c r="CM7" s="17" t="s">
        <v>42</v>
      </c>
      <c r="CN7" s="17" t="s">
        <v>3</v>
      </c>
      <c r="CO7" s="17" t="s">
        <v>27</v>
      </c>
      <c r="CP7" s="17" t="s">
        <v>44</v>
      </c>
      <c r="CS7" s="30" t="s">
        <v>45</v>
      </c>
      <c r="CU7" s="100" t="s">
        <v>46</v>
      </c>
      <c r="CV7" s="101"/>
    </row>
    <row r="8" spans="1:100" s="6" customFormat="1" ht="18.75">
      <c r="A8" s="31">
        <v>1</v>
      </c>
      <c r="B8" s="32" t="s">
        <v>74</v>
      </c>
      <c r="D8" s="6" t="str">
        <f aca="true" t="shared" si="0" ref="D8:D52">LOOKUP(H8,ssnums,ssteams)</f>
        <v>Hertfordshire</v>
      </c>
      <c r="E8" s="6" t="str">
        <f aca="true" t="shared" si="1" ref="E8:E52">LOOKUP(J8,ssnums,ssteams)</f>
        <v>Sunderland</v>
      </c>
      <c r="F8" s="74" t="str">
        <f>CONCATENATE(D8," v. ",E8)</f>
        <v>Hertfordshire v. Sunderland</v>
      </c>
      <c r="G8" s="75">
        <f>IF(ISNUMBER(SEARCH("0",F8)),1,2)</f>
        <v>2</v>
      </c>
      <c r="H8" s="76">
        <v>4</v>
      </c>
      <c r="I8" s="75" t="s">
        <v>47</v>
      </c>
      <c r="J8" s="77">
        <v>10</v>
      </c>
      <c r="K8" s="33"/>
      <c r="L8" s="83">
        <v>7</v>
      </c>
      <c r="M8" s="83">
        <v>5</v>
      </c>
      <c r="N8" s="34"/>
      <c r="O8" s="35">
        <f>SUMIF(ssg1.1,teama1,ssr1.1)</f>
        <v>12</v>
      </c>
      <c r="P8" s="35">
        <f>SUMIF(ssg1.2,teama1,ssr1.2)</f>
        <v>0</v>
      </c>
      <c r="Q8" s="35">
        <f>SUMIF(ssg1.1,teama1,ssr1.2)</f>
        <v>3</v>
      </c>
      <c r="R8" s="35">
        <f>SUMIF(ssg1.2,teama1,ssr1.1)</f>
        <v>0</v>
      </c>
      <c r="S8" s="35">
        <f>SUMIF(ssg2.1,teama1,ssr2.1)</f>
        <v>12</v>
      </c>
      <c r="T8" s="35">
        <f>SUMIF(ssg2.2,teama1,ssr2.2)</f>
        <v>0</v>
      </c>
      <c r="U8" s="35">
        <f>SUMIF(ssg2.1,teama1,ssr2.2)</f>
        <v>5</v>
      </c>
      <c r="V8" s="35">
        <f>SUMIF(ssg2.2,teama1,ssr2.1)</f>
        <v>0</v>
      </c>
      <c r="W8" s="35">
        <f>SUMIF(ssg3.1,teama1,ssr3.1)</f>
        <v>6</v>
      </c>
      <c r="X8" s="35">
        <f>SUMIF(ssg3.2,teama1,ssr3.2)</f>
        <v>0</v>
      </c>
      <c r="Y8" s="35">
        <f>SUMIF(ssg3.1,teama1,ssr3.2)</f>
        <v>7</v>
      </c>
      <c r="Z8" s="35">
        <f>SUMIF(ssg3.2,teama1,ssr3.1)</f>
        <v>0</v>
      </c>
      <c r="AA8" s="35">
        <f>SUMIF(ssg4.1,teama1,ssr4.1)</f>
        <v>11</v>
      </c>
      <c r="AB8" s="35">
        <f>SUMIF(ssg4.2,teama1,ssr4.2)</f>
        <v>0</v>
      </c>
      <c r="AC8" s="35">
        <f>SUMIF(ssg4.1,teama1,ssr4.2)</f>
        <v>5</v>
      </c>
      <c r="AD8" s="35">
        <f>SUMIF(ssg4.2,teama1,ssr4.1)</f>
        <v>0</v>
      </c>
      <c r="AE8" s="35">
        <f>SUMIF(ssg5.1,teama1,ssr5.1)</f>
        <v>5</v>
      </c>
      <c r="AF8" s="35">
        <f>SUMIF(ssg5.2,teama1,ssr5.2)</f>
        <v>0</v>
      </c>
      <c r="AG8" s="35">
        <f>SUMIF(ssg5.1,teama1,ssr5.2)</f>
        <v>7</v>
      </c>
      <c r="AH8" s="35">
        <f>SUMIF(ssg5.2,teama1,ssr5.1)</f>
        <v>0</v>
      </c>
      <c r="AI8" s="35">
        <f>SUMIF(ssg6.1,teama1,ssr6.1)</f>
        <v>12</v>
      </c>
      <c r="AJ8" s="35">
        <f>SUMIF(ssg6.2,teama1,ssr6.2)</f>
        <v>0</v>
      </c>
      <c r="AK8" s="35">
        <f>SUMIF(ssg6.1,teama1,ssr6.2)</f>
        <v>6</v>
      </c>
      <c r="AL8" s="35">
        <f>SUMIF(ssg6.2,teama1,ssr6.1)</f>
        <v>0</v>
      </c>
      <c r="AM8" s="35">
        <f>SUMIF(ssg7.1,teama1,ssr7.1)</f>
        <v>1</v>
      </c>
      <c r="AN8" s="35">
        <f>SUMIF(ssg7.2,teama1,ssr7.2)</f>
        <v>0</v>
      </c>
      <c r="AO8" s="35">
        <f>SUMIF(ssg7.1,teama1,ssr7.2)</f>
        <v>9</v>
      </c>
      <c r="AP8" s="35">
        <f>SUMIF(ssg7.2,teama1,ssr7.1)</f>
        <v>0</v>
      </c>
      <c r="AQ8" s="35">
        <f>SUMIF(ssg8.1,teama1,ssr8.1)</f>
        <v>9</v>
      </c>
      <c r="AR8" s="35">
        <f>SUMIF(ssg8.2,teama1,ssr8.2)</f>
        <v>0</v>
      </c>
      <c r="AS8" s="35">
        <f>SUMIF(ssg8.1,teama1,ssr8.2)</f>
        <v>7</v>
      </c>
      <c r="AT8" s="35">
        <f>SUMIF(ssg8.2,teama1,ssr8.1)</f>
        <v>0</v>
      </c>
      <c r="AU8" s="35">
        <f>SUMIF(ssg9.1,teama1,ssr9.1)</f>
        <v>7</v>
      </c>
      <c r="AV8" s="35">
        <f>SUMIF(ssg9.2,teama1,ssr9.2)</f>
        <v>0</v>
      </c>
      <c r="AW8" s="35">
        <f>SUMIF(ssg9.1,teama1,ssr9.2)</f>
        <v>6</v>
      </c>
      <c r="AX8" s="35">
        <f>SUMIF(ssg9.2,teama1,ssr9.1)</f>
        <v>0</v>
      </c>
      <c r="AY8" s="33">
        <f>O8+P8+S8+T8+W8+X8+AA8+AB8+AE8+AF8+AI8+AJ8+AM8+AN8+AQ8+AR8+AU8+AV8</f>
        <v>75</v>
      </c>
      <c r="AZ8" s="33">
        <f>Q8+R8+U8+V8+Y8+Z8+AC8+AD8+AG8+AH8+AK8+AL8+AO8+AP8+AS8+AT8+AW8+AX8</f>
        <v>55</v>
      </c>
      <c r="BD8" s="6">
        <f aca="true" t="shared" si="2" ref="BD8:BD17">IF(O8+P8=0,pointsforlose,IF(O8+P8=Q8+R8,pointsfordraw,IF(O8+P8&gt;Q8+R8,pointsforwin,pointsforlose)))</f>
        <v>2</v>
      </c>
      <c r="BE8" s="6">
        <f aca="true" t="shared" si="3" ref="BE8:BE17">IF(S8+T8=0,pointsforlose,IF(S8+T8=U8+V8,pointsfordraw,IF(S8+T8&gt;U8+V8,pointsforwin,pointsforlose)))</f>
        <v>2</v>
      </c>
      <c r="BF8" s="6">
        <f aca="true" t="shared" si="4" ref="BF8:BF17">IF(W8+X8=0,pointsforlose,IF(W8+X8=Y8+Z8,pointsfordraw,IF(W8+X8&gt;Y8+Z8,pointsforwin,pointsforlose)))</f>
        <v>0</v>
      </c>
      <c r="BG8" s="6">
        <f aca="true" t="shared" si="5" ref="BG8:BG17">IF(AA8+AB8=0,pointsforlose,IF(AA8+AB8=AC8+AD8,pointsfordraw,IF(AA8+AB8&gt;AC8+AD8,pointsforwin,pointsforlose)))</f>
        <v>2</v>
      </c>
      <c r="BH8" s="6">
        <f aca="true" t="shared" si="6" ref="BH8:BH17">IF(AE8+AF8=0,pointsforlose,IF(AE8+AF8=AG8+AH8,pointsfordraw,IF(AE8+AF8&gt;AG8+AH8,pointsforwin,pointsforlose)))</f>
        <v>0</v>
      </c>
      <c r="BI8" s="6">
        <f aca="true" t="shared" si="7" ref="BI8:BI17">IF(AI8+AJ8=0,pointsforlose,IF(AI8+AJ8=AK8+AL8,pointsfordraw,IF(AI8+AJ8&gt;AK8+AL8,pointsforwin,pointsforlose)))</f>
        <v>2</v>
      </c>
      <c r="BJ8" s="6">
        <f aca="true" t="shared" si="8" ref="BJ8:BJ17">IF(AM8+AN8=0,pointsforlose,IF(AM8+AN8=AO8+AP8,pointsfordraw,IF(AM8+AN8&gt;AO8+AP8,pointsforwin,pointsforlose)))</f>
        <v>0</v>
      </c>
      <c r="BK8" s="6">
        <f aca="true" t="shared" si="9" ref="BK8:BK17">IF(AQ8+AR8=0,pointsforlose,IF(AQ8+AR8=AS8+AT8,pointsfordraw,IF(AQ8+AR8&gt;AS8+AT8,pointsforwin,pointsforlose)))</f>
        <v>2</v>
      </c>
      <c r="BL8" s="6">
        <f aca="true" t="shared" si="10" ref="BL8:BL17">IF(AU8+AV8=0,pointsforlose,IF(AU8+AV8=AW8+AX8,pointsfordraw,IF(AU8+AV8&gt;AW8+AX8,pointsforwin,pointsforlose)))</f>
        <v>2</v>
      </c>
      <c r="BM8" s="33">
        <f>SUM(BD8:BL8)</f>
        <v>12</v>
      </c>
      <c r="BP8" s="33">
        <f>SUM(O8:R8)</f>
        <v>15</v>
      </c>
      <c r="BQ8" s="33">
        <f>SUM(S8:V8)</f>
        <v>17</v>
      </c>
      <c r="BR8" s="33">
        <f>SUM(W8:Z8)</f>
        <v>13</v>
      </c>
      <c r="BS8" s="33">
        <f>SUM(AA8:AD8)</f>
        <v>16</v>
      </c>
      <c r="BT8" s="33">
        <f>SUM(AE8:AH8)</f>
        <v>12</v>
      </c>
      <c r="BU8" s="33">
        <f>SUM(AI8:AL8)</f>
        <v>18</v>
      </c>
      <c r="BV8" s="33">
        <f>SUM(AM8:AP8)</f>
        <v>10</v>
      </c>
      <c r="BW8" s="33">
        <f>SUM(AQ8:AT8)</f>
        <v>16</v>
      </c>
      <c r="BX8" s="33">
        <f>SUM(AU8:AX8)</f>
        <v>13</v>
      </c>
      <c r="BY8" s="33"/>
      <c r="BZ8" s="33">
        <f aca="true" t="shared" si="11" ref="BZ8:BZ16">COUNTIF(BP8:BX8,"&gt;0")</f>
        <v>9</v>
      </c>
      <c r="CA8" s="6">
        <f aca="true" t="shared" si="12" ref="CA8:CA17">((((BM8*1000000)+(AY8*1000)+(AZ8-100)*-1)+CV8)*10)+CJ8</f>
        <v>120750451</v>
      </c>
      <c r="CB8" s="6">
        <f aca="true" t="shared" si="13" ref="CB8:CB17">RANK(CA8,g01tots1)</f>
        <v>3</v>
      </c>
      <c r="CC8" s="6" t="str">
        <f aca="true" t="shared" si="14" ref="CC8:CC17">B8</f>
        <v>Cambridgeshire</v>
      </c>
      <c r="CD8" s="6">
        <f>BM8</f>
        <v>12</v>
      </c>
      <c r="CE8" s="6">
        <f>AY8</f>
        <v>75</v>
      </c>
      <c r="CF8" s="6">
        <f>AZ8</f>
        <v>55</v>
      </c>
      <c r="CG8" s="6">
        <f>CV8</f>
        <v>0</v>
      </c>
      <c r="CH8" s="33">
        <f>A8</f>
        <v>1</v>
      </c>
      <c r="CI8" s="33">
        <f>BZ8</f>
        <v>9</v>
      </c>
      <c r="CJ8" s="6">
        <v>1</v>
      </c>
      <c r="CK8" s="36">
        <f aca="true" t="shared" si="15" ref="CK8:CK17">VLOOKUP(g01order,g01table,7,0)</f>
        <v>4</v>
      </c>
      <c r="CL8" s="37" t="str">
        <f aca="true" t="shared" si="16" ref="CL8:CL17">VLOOKUP(g01order,g01table,2,0)</f>
        <v>Hertfordshire</v>
      </c>
      <c r="CM8" s="6">
        <f aca="true" t="shared" si="17" ref="CM8:CM17">VLOOKUP(g01order,g01table,8,0)</f>
        <v>9</v>
      </c>
      <c r="CN8" s="6">
        <f aca="true" t="shared" si="18" ref="CN8:CN17">VLOOKUP(g01order,g01table,3,0)</f>
        <v>14</v>
      </c>
      <c r="CO8" s="6">
        <f aca="true" t="shared" si="19" ref="CO8:CO17">VLOOKUP(g01order,g01table,4,0)</f>
        <v>92</v>
      </c>
      <c r="CP8" s="6">
        <f aca="true" t="shared" si="20" ref="CP8:CP17">VLOOKUP(g01order,g01table,5,0)</f>
        <v>48</v>
      </c>
      <c r="CQ8" s="6">
        <f aca="true" t="shared" si="21" ref="CQ8:CQ17">VLOOKUP(g01order,g01table,6,0)</f>
        <v>0</v>
      </c>
      <c r="CR8" s="6">
        <f aca="true" t="shared" si="22" ref="CR8:CR13">((((CN8*1000000)+(CO8*1000)+(CP8-100)*-1))*10)+CQ8</f>
        <v>140920520</v>
      </c>
      <c r="CS8" s="38">
        <f aca="true" t="shared" si="23" ref="CS8:CS13">RANK(CR8,g01tots2)</f>
        <v>1</v>
      </c>
      <c r="CU8" s="39" t="str">
        <f aca="true" t="shared" si="24" ref="CU8:CU13">B8</f>
        <v>Cambridgeshire</v>
      </c>
      <c r="CV8" s="40"/>
    </row>
    <row r="9" spans="1:100" s="6" customFormat="1" ht="18.75">
      <c r="A9" s="41">
        <v>2</v>
      </c>
      <c r="B9" s="42" t="s">
        <v>48</v>
      </c>
      <c r="D9" s="6" t="str">
        <f t="shared" si="0"/>
        <v>Durham</v>
      </c>
      <c r="E9" s="6" t="str">
        <f t="shared" si="1"/>
        <v>Essex</v>
      </c>
      <c r="F9" s="78" t="str">
        <f aca="true" t="shared" si="25" ref="F9:F52">CONCATENATE(D9," v. ",E9)</f>
        <v>Durham v. Essex</v>
      </c>
      <c r="G9" s="6">
        <f aca="true" t="shared" si="26" ref="G9:G52">IF(ISNUMBER(SEARCH("0",F9)),1,2)</f>
        <v>2</v>
      </c>
      <c r="H9" s="33">
        <v>2</v>
      </c>
      <c r="I9" s="6" t="s">
        <v>47</v>
      </c>
      <c r="J9" s="79">
        <v>3</v>
      </c>
      <c r="K9" s="33"/>
      <c r="L9" s="83">
        <v>6</v>
      </c>
      <c r="M9" s="83">
        <v>7</v>
      </c>
      <c r="N9" s="34"/>
      <c r="O9" s="35">
        <f>SUMIF(ssg1.1,teama2,ssr1.1)</f>
        <v>6</v>
      </c>
      <c r="P9" s="35">
        <f>SUMIF(ssg1.2,teama2,ssr1.2)</f>
        <v>0</v>
      </c>
      <c r="Q9" s="35">
        <f>SUMIF(ssg1.1,teama2,ssr1.2)</f>
        <v>7</v>
      </c>
      <c r="R9" s="35">
        <f>SUMIF(ssg1.2,teama2,ssr1.1)</f>
        <v>0</v>
      </c>
      <c r="S9" s="35">
        <f>SUMIF(ssg2.1,teama2,ssr2.1)</f>
        <v>4</v>
      </c>
      <c r="T9" s="35">
        <f>SUMIF(ssg2.2,teama2,ssr2.2)</f>
        <v>0</v>
      </c>
      <c r="U9" s="35">
        <f>SUMIF(ssg2.1,teama2,ssr2.2)</f>
        <v>11</v>
      </c>
      <c r="V9" s="35">
        <f>SUMIF(ssg2.2,teama2,ssr2.1)</f>
        <v>0</v>
      </c>
      <c r="W9" s="35">
        <f>SUMIF(ssg3.1,teama2,ssr3.1)</f>
        <v>8</v>
      </c>
      <c r="X9" s="35">
        <f>SUMIF(ssg3.2,teama2,ssr3.2)</f>
        <v>0</v>
      </c>
      <c r="Y9" s="35">
        <f>SUMIF(ssg3.1,teama2,ssr3.2)</f>
        <v>7</v>
      </c>
      <c r="Z9" s="35">
        <f>SUMIF(ssg3.2,teama2,ssr3.1)</f>
        <v>0</v>
      </c>
      <c r="AA9" s="35">
        <f>SUMIF(ssg4.1,teama2,ssr4.1)</f>
        <v>11</v>
      </c>
      <c r="AB9" s="35">
        <f>SUMIF(ssg4.2,teama2,ssr4.2)</f>
        <v>0</v>
      </c>
      <c r="AC9" s="35">
        <f>SUMIF(ssg4.1,teama2,ssr4.2)</f>
        <v>8</v>
      </c>
      <c r="AD9" s="35">
        <f>SUMIF(ssg4.2,teama2,ssr4.1)</f>
        <v>0</v>
      </c>
      <c r="AE9" s="35">
        <f>SUMIF(ssg5.1,teama2,ssr5.1)</f>
        <v>10</v>
      </c>
      <c r="AF9" s="35">
        <f>SUMIF(ssg5.2,teama2,ssr5.2)</f>
        <v>0</v>
      </c>
      <c r="AG9" s="35">
        <f>SUMIF(ssg5.1,teama2,ssr5.2)</f>
        <v>7</v>
      </c>
      <c r="AH9" s="35">
        <f>SUMIF(ssg5.2,teama2,ssr5.1)</f>
        <v>0</v>
      </c>
      <c r="AI9" s="35">
        <f>SUMIF(ssg6.1,teama2,ssr6.1)</f>
        <v>6</v>
      </c>
      <c r="AJ9" s="35">
        <f>SUMIF(ssg6.2,teama2,ssr6.2)</f>
        <v>0</v>
      </c>
      <c r="AK9" s="35">
        <f>SUMIF(ssg6.1,teama2,ssr6.2)</f>
        <v>5</v>
      </c>
      <c r="AL9" s="35">
        <f>SUMIF(ssg6.2,teama2,ssr6.1)</f>
        <v>0</v>
      </c>
      <c r="AM9" s="35">
        <f>SUMIF(ssg7.1,teama2,ssr7.1)</f>
        <v>8</v>
      </c>
      <c r="AN9" s="35">
        <f>SUMIF(ssg7.2,teama2,ssr7.2)</f>
        <v>0</v>
      </c>
      <c r="AO9" s="35">
        <f>SUMIF(ssg7.1,teama2,ssr7.2)</f>
        <v>8</v>
      </c>
      <c r="AP9" s="35">
        <f>SUMIF(ssg7.2,teama2,ssr7.1)</f>
        <v>0</v>
      </c>
      <c r="AQ9" s="35">
        <f>SUMIF(ssg8.1,teama2,ssr8.1)</f>
        <v>2</v>
      </c>
      <c r="AR9" s="35">
        <f>SUMIF(ssg8.2,teama2,ssr8.2)</f>
        <v>0</v>
      </c>
      <c r="AS9" s="35">
        <f>SUMIF(ssg8.1,teama2,ssr8.2)</f>
        <v>9</v>
      </c>
      <c r="AT9" s="35">
        <f>SUMIF(ssg8.2,teama2,ssr8.1)</f>
        <v>0</v>
      </c>
      <c r="AU9" s="35">
        <f>SUMIF(ssg9.1,teama2,ssr9.1)</f>
        <v>0</v>
      </c>
      <c r="AV9" s="35">
        <f>SUMIF(ssg9.2,teama2,ssr9.2)</f>
        <v>6</v>
      </c>
      <c r="AW9" s="35">
        <f>SUMIF(ssg9.1,teama2,ssr9.2)</f>
        <v>0</v>
      </c>
      <c r="AX9" s="35">
        <f>SUMIF(ssg9.2,teama2,ssr9.1)</f>
        <v>7</v>
      </c>
      <c r="AY9" s="33">
        <f aca="true" t="shared" si="27" ref="AY9:AY17">O9+P9+S9+T9+W9+X9+AA9+AB9+AE9+AF9+AI9+AJ9+AM9+AN9+AQ9+AR9+AU9+AV9</f>
        <v>61</v>
      </c>
      <c r="AZ9" s="33">
        <f aca="true" t="shared" si="28" ref="AZ9:AZ17">Q9+R9+U9+V9+Y9+Z9+AC9+AD9+AG9+AH9+AK9+AL9+AO9+AP9+AS9+AT9+AW9+AX9</f>
        <v>69</v>
      </c>
      <c r="BD9" s="6">
        <f t="shared" si="2"/>
        <v>0</v>
      </c>
      <c r="BE9" s="6">
        <f t="shared" si="3"/>
        <v>0</v>
      </c>
      <c r="BF9" s="6">
        <f t="shared" si="4"/>
        <v>2</v>
      </c>
      <c r="BG9" s="6">
        <f t="shared" si="5"/>
        <v>2</v>
      </c>
      <c r="BH9" s="6">
        <f t="shared" si="6"/>
        <v>2</v>
      </c>
      <c r="BI9" s="6">
        <f t="shared" si="7"/>
        <v>2</v>
      </c>
      <c r="BJ9" s="6">
        <f t="shared" si="8"/>
        <v>1</v>
      </c>
      <c r="BK9" s="6">
        <f t="shared" si="9"/>
        <v>0</v>
      </c>
      <c r="BL9" s="6">
        <f t="shared" si="10"/>
        <v>0</v>
      </c>
      <c r="BM9" s="33">
        <f aca="true" t="shared" si="29" ref="BM9:BM17">SUM(BD9:BL9)</f>
        <v>9</v>
      </c>
      <c r="BP9" s="33">
        <f aca="true" t="shared" si="30" ref="BP9:BP17">SUM(O9:R9)</f>
        <v>13</v>
      </c>
      <c r="BQ9" s="33">
        <f aca="true" t="shared" si="31" ref="BQ9:BQ17">SUM(S9:V9)</f>
        <v>15</v>
      </c>
      <c r="BR9" s="33">
        <f aca="true" t="shared" si="32" ref="BR9:BR17">SUM(W9:Z9)</f>
        <v>15</v>
      </c>
      <c r="BS9" s="33">
        <f aca="true" t="shared" si="33" ref="BS9:BS17">SUM(AA9:AD9)</f>
        <v>19</v>
      </c>
      <c r="BT9" s="33">
        <f aca="true" t="shared" si="34" ref="BT9:BT17">SUM(AE9:AH9)</f>
        <v>17</v>
      </c>
      <c r="BU9" s="33">
        <f aca="true" t="shared" si="35" ref="BU9:BU17">SUM(AI9:AL9)</f>
        <v>11</v>
      </c>
      <c r="BV9" s="33">
        <f aca="true" t="shared" si="36" ref="BV9:BV17">SUM(AM9:AP9)</f>
        <v>16</v>
      </c>
      <c r="BW9" s="33">
        <f aca="true" t="shared" si="37" ref="BW9:BW17">SUM(AQ9:AT9)</f>
        <v>11</v>
      </c>
      <c r="BX9" s="33">
        <f aca="true" t="shared" si="38" ref="BX9:BX17">SUM(AU9:AX9)</f>
        <v>13</v>
      </c>
      <c r="BY9" s="33"/>
      <c r="BZ9" s="33">
        <f t="shared" si="11"/>
        <v>9</v>
      </c>
      <c r="CA9" s="6">
        <f t="shared" si="12"/>
        <v>90610312</v>
      </c>
      <c r="CB9" s="6">
        <f t="shared" si="13"/>
        <v>6</v>
      </c>
      <c r="CC9" s="6" t="str">
        <f t="shared" si="14"/>
        <v>Durham</v>
      </c>
      <c r="CD9" s="6">
        <f aca="true" t="shared" si="39" ref="CD9:CD17">BM9</f>
        <v>9</v>
      </c>
      <c r="CE9" s="6">
        <f aca="true" t="shared" si="40" ref="CE9:CF17">AY9</f>
        <v>61</v>
      </c>
      <c r="CF9" s="6">
        <f t="shared" si="40"/>
        <v>69</v>
      </c>
      <c r="CG9" s="6">
        <f aca="true" t="shared" si="41" ref="CG9:CG17">CV9</f>
        <v>0</v>
      </c>
      <c r="CH9" s="33">
        <f aca="true" t="shared" si="42" ref="CH9:CH17">A9</f>
        <v>2</v>
      </c>
      <c r="CI9" s="33">
        <f aca="true" t="shared" si="43" ref="CI9:CI17">BZ9</f>
        <v>9</v>
      </c>
      <c r="CJ9" s="6">
        <v>2</v>
      </c>
      <c r="CK9" s="36">
        <f t="shared" si="15"/>
        <v>9</v>
      </c>
      <c r="CL9" s="37" t="str">
        <f t="shared" si="16"/>
        <v>Suffolk</v>
      </c>
      <c r="CM9" s="6">
        <f t="shared" si="17"/>
        <v>9</v>
      </c>
      <c r="CN9" s="6">
        <f t="shared" si="18"/>
        <v>13</v>
      </c>
      <c r="CO9" s="6">
        <f t="shared" si="19"/>
        <v>80</v>
      </c>
      <c r="CP9" s="6">
        <f t="shared" si="20"/>
        <v>59</v>
      </c>
      <c r="CQ9" s="6">
        <f t="shared" si="21"/>
        <v>0</v>
      </c>
      <c r="CR9" s="6">
        <f t="shared" si="22"/>
        <v>130800410</v>
      </c>
      <c r="CS9" s="38">
        <f t="shared" si="23"/>
        <v>2</v>
      </c>
      <c r="CU9" s="39" t="str">
        <f t="shared" si="24"/>
        <v>Durham</v>
      </c>
      <c r="CV9" s="40"/>
    </row>
    <row r="10" spans="1:100" s="6" customFormat="1" ht="18.75">
      <c r="A10" s="41">
        <v>3</v>
      </c>
      <c r="B10" s="42" t="s">
        <v>49</v>
      </c>
      <c r="D10" s="6" t="str">
        <f t="shared" si="0"/>
        <v>North Tyneside</v>
      </c>
      <c r="E10" s="6" t="str">
        <f t="shared" si="1"/>
        <v>Northumberland</v>
      </c>
      <c r="F10" s="78" t="str">
        <f t="shared" si="25"/>
        <v>North Tyneside v. Northumberland</v>
      </c>
      <c r="G10" s="6">
        <f t="shared" si="26"/>
        <v>2</v>
      </c>
      <c r="H10" s="33">
        <v>6</v>
      </c>
      <c r="I10" s="6" t="s">
        <v>47</v>
      </c>
      <c r="J10" s="79">
        <v>7</v>
      </c>
      <c r="K10" s="33"/>
      <c r="L10" s="83">
        <v>8</v>
      </c>
      <c r="M10" s="83">
        <v>7</v>
      </c>
      <c r="N10" s="34"/>
      <c r="O10" s="35">
        <f>SUMIF(ssg1.1,teama3,ssr1.1)</f>
        <v>0</v>
      </c>
      <c r="P10" s="35">
        <f>SUMIF(ssg1.2,teama3,ssr1.2)</f>
        <v>7</v>
      </c>
      <c r="Q10" s="35">
        <f>SUMIF(ssg1.1,teama3,ssr1.2)</f>
        <v>0</v>
      </c>
      <c r="R10" s="35">
        <f>SUMIF(ssg1.2,teama3,ssr1.1)</f>
        <v>6</v>
      </c>
      <c r="S10" s="35">
        <f>SUMIF(ssg2.1,teama3,ssr2.1)</f>
        <v>0</v>
      </c>
      <c r="T10" s="35">
        <f>SUMIF(ssg2.2,teama3,ssr2.2)</f>
        <v>5</v>
      </c>
      <c r="U10" s="35">
        <f>SUMIF(ssg2.1,teama3,ssr2.2)</f>
        <v>0</v>
      </c>
      <c r="V10" s="35">
        <f>SUMIF(ssg2.2,teama3,ssr2.1)</f>
        <v>12</v>
      </c>
      <c r="W10" s="35">
        <f>SUMIF(ssg3.1,teama3,ssr3.1)</f>
        <v>4</v>
      </c>
      <c r="X10" s="35">
        <f>SUMIF(ssg3.2,teama3,ssr3.2)</f>
        <v>0</v>
      </c>
      <c r="Y10" s="35">
        <f>SUMIF(ssg3.1,teama3,ssr3.2)</f>
        <v>16</v>
      </c>
      <c r="Z10" s="35">
        <f>SUMIF(ssg3.2,teama3,ssr3.1)</f>
        <v>0</v>
      </c>
      <c r="AA10" s="35">
        <f>SUMIF(ssg4.1,teama3,ssr4.1)</f>
        <v>9</v>
      </c>
      <c r="AB10" s="35">
        <f>SUMIF(ssg4.2,teama3,ssr4.2)</f>
        <v>0</v>
      </c>
      <c r="AC10" s="35">
        <f>SUMIF(ssg4.1,teama3,ssr4.2)</f>
        <v>9</v>
      </c>
      <c r="AD10" s="35">
        <f>SUMIF(ssg4.2,teama3,ssr4.1)</f>
        <v>0</v>
      </c>
      <c r="AE10" s="35">
        <f>SUMIF(ssg5.1,teama3,ssr5.1)</f>
        <v>7</v>
      </c>
      <c r="AF10" s="35">
        <f>SUMIF(ssg5.2,teama3,ssr5.2)</f>
        <v>0</v>
      </c>
      <c r="AG10" s="35">
        <f>SUMIF(ssg5.1,teama3,ssr5.2)</f>
        <v>6</v>
      </c>
      <c r="AH10" s="35">
        <f>SUMIF(ssg5.2,teama3,ssr5.1)</f>
        <v>0</v>
      </c>
      <c r="AI10" s="35">
        <f>SUMIF(ssg6.1,teama3,ssr6.1)</f>
        <v>4</v>
      </c>
      <c r="AJ10" s="35">
        <f>SUMIF(ssg6.2,teama3,ssr6.2)</f>
        <v>0</v>
      </c>
      <c r="AK10" s="35">
        <f>SUMIF(ssg6.1,teama3,ssr6.2)</f>
        <v>10</v>
      </c>
      <c r="AL10" s="35">
        <f>SUMIF(ssg6.2,teama3,ssr6.1)</f>
        <v>0</v>
      </c>
      <c r="AM10" s="35">
        <f>SUMIF(ssg7.1,teama3,ssr7.1)</f>
        <v>18</v>
      </c>
      <c r="AN10" s="35">
        <f>SUMIF(ssg7.2,teama3,ssr7.2)</f>
        <v>0</v>
      </c>
      <c r="AO10" s="35">
        <f>SUMIF(ssg7.1,teama3,ssr7.2)</f>
        <v>3</v>
      </c>
      <c r="AP10" s="35">
        <f>SUMIF(ssg7.2,teama3,ssr7.1)</f>
        <v>0</v>
      </c>
      <c r="AQ10" s="35">
        <f>SUMIF(ssg8.1,teama3,ssr8.1)</f>
        <v>9</v>
      </c>
      <c r="AR10" s="35">
        <f>SUMIF(ssg8.2,teama3,ssr8.2)</f>
        <v>0</v>
      </c>
      <c r="AS10" s="35">
        <f>SUMIF(ssg8.1,teama3,ssr8.2)</f>
        <v>6</v>
      </c>
      <c r="AT10" s="35">
        <f>SUMIF(ssg8.2,teama3,ssr8.1)</f>
        <v>0</v>
      </c>
      <c r="AU10" s="35">
        <f>SUMIF(ssg9.1,teama3,ssr9.1)</f>
        <v>11</v>
      </c>
      <c r="AV10" s="35">
        <f>SUMIF(ssg9.2,teama3,ssr9.2)</f>
        <v>0</v>
      </c>
      <c r="AW10" s="35">
        <f>SUMIF(ssg9.1,teama3,ssr9.2)</f>
        <v>4</v>
      </c>
      <c r="AX10" s="35">
        <f>SUMIF(ssg9.2,teama3,ssr9.1)</f>
        <v>0</v>
      </c>
      <c r="AY10" s="33">
        <f t="shared" si="27"/>
        <v>74</v>
      </c>
      <c r="AZ10" s="33">
        <f t="shared" si="28"/>
        <v>72</v>
      </c>
      <c r="BD10" s="6">
        <f t="shared" si="2"/>
        <v>2</v>
      </c>
      <c r="BE10" s="6">
        <f t="shared" si="3"/>
        <v>0</v>
      </c>
      <c r="BF10" s="6">
        <f t="shared" si="4"/>
        <v>0</v>
      </c>
      <c r="BG10" s="6">
        <f t="shared" si="5"/>
        <v>1</v>
      </c>
      <c r="BH10" s="6">
        <f t="shared" si="6"/>
        <v>2</v>
      </c>
      <c r="BI10" s="6">
        <f t="shared" si="7"/>
        <v>0</v>
      </c>
      <c r="BJ10" s="6">
        <f t="shared" si="8"/>
        <v>2</v>
      </c>
      <c r="BK10" s="6">
        <f t="shared" si="9"/>
        <v>2</v>
      </c>
      <c r="BL10" s="6">
        <f t="shared" si="10"/>
        <v>2</v>
      </c>
      <c r="BM10" s="33">
        <f t="shared" si="29"/>
        <v>11</v>
      </c>
      <c r="BP10" s="33">
        <f t="shared" si="30"/>
        <v>13</v>
      </c>
      <c r="BQ10" s="33">
        <f t="shared" si="31"/>
        <v>17</v>
      </c>
      <c r="BR10" s="33">
        <f t="shared" si="32"/>
        <v>20</v>
      </c>
      <c r="BS10" s="33">
        <f t="shared" si="33"/>
        <v>18</v>
      </c>
      <c r="BT10" s="33">
        <f t="shared" si="34"/>
        <v>13</v>
      </c>
      <c r="BU10" s="33">
        <f t="shared" si="35"/>
        <v>14</v>
      </c>
      <c r="BV10" s="33">
        <f t="shared" si="36"/>
        <v>21</v>
      </c>
      <c r="BW10" s="33">
        <f t="shared" si="37"/>
        <v>15</v>
      </c>
      <c r="BX10" s="33">
        <f t="shared" si="38"/>
        <v>15</v>
      </c>
      <c r="BY10" s="33"/>
      <c r="BZ10" s="33">
        <f t="shared" si="11"/>
        <v>9</v>
      </c>
      <c r="CA10" s="6">
        <f t="shared" si="12"/>
        <v>110740283</v>
      </c>
      <c r="CB10" s="6">
        <f t="shared" si="13"/>
        <v>5</v>
      </c>
      <c r="CC10" s="6" t="str">
        <f t="shared" si="14"/>
        <v>Essex</v>
      </c>
      <c r="CD10" s="6">
        <f t="shared" si="39"/>
        <v>11</v>
      </c>
      <c r="CE10" s="6">
        <f t="shared" si="40"/>
        <v>74</v>
      </c>
      <c r="CF10" s="6">
        <f t="shared" si="40"/>
        <v>72</v>
      </c>
      <c r="CG10" s="6">
        <f t="shared" si="41"/>
        <v>0</v>
      </c>
      <c r="CH10" s="33">
        <f t="shared" si="42"/>
        <v>3</v>
      </c>
      <c r="CI10" s="33">
        <f t="shared" si="43"/>
        <v>9</v>
      </c>
      <c r="CJ10" s="6">
        <v>3</v>
      </c>
      <c r="CK10" s="36">
        <f t="shared" si="15"/>
        <v>1</v>
      </c>
      <c r="CL10" s="37" t="str">
        <f t="shared" si="16"/>
        <v>Cambridgeshire</v>
      </c>
      <c r="CM10" s="6">
        <f t="shared" si="17"/>
        <v>9</v>
      </c>
      <c r="CN10" s="6">
        <f t="shared" si="18"/>
        <v>12</v>
      </c>
      <c r="CO10" s="6">
        <f t="shared" si="19"/>
        <v>75</v>
      </c>
      <c r="CP10" s="6">
        <f t="shared" si="20"/>
        <v>55</v>
      </c>
      <c r="CQ10" s="6">
        <f t="shared" si="21"/>
        <v>0</v>
      </c>
      <c r="CR10" s="6">
        <f t="shared" si="22"/>
        <v>120750450</v>
      </c>
      <c r="CS10" s="38">
        <f t="shared" si="23"/>
        <v>3</v>
      </c>
      <c r="CU10" s="39" t="str">
        <f t="shared" si="24"/>
        <v>Essex</v>
      </c>
      <c r="CV10" s="40"/>
    </row>
    <row r="11" spans="1:100" s="6" customFormat="1" ht="18.75">
      <c r="A11" s="41">
        <v>4</v>
      </c>
      <c r="B11" s="42" t="s">
        <v>50</v>
      </c>
      <c r="C11" s="12"/>
      <c r="D11" s="6" t="str">
        <f t="shared" si="0"/>
        <v>Cambridgeshire</v>
      </c>
      <c r="E11" s="6" t="str">
        <f t="shared" si="1"/>
        <v>South Tyneside</v>
      </c>
      <c r="F11" s="78" t="str">
        <f t="shared" si="25"/>
        <v>Cambridgeshire v. South Tyneside</v>
      </c>
      <c r="G11" s="6">
        <f t="shared" si="26"/>
        <v>2</v>
      </c>
      <c r="H11" s="33">
        <v>1</v>
      </c>
      <c r="I11" s="6" t="s">
        <v>47</v>
      </c>
      <c r="J11" s="79">
        <v>8</v>
      </c>
      <c r="K11" s="8"/>
      <c r="L11" s="83">
        <v>12</v>
      </c>
      <c r="M11" s="83">
        <v>3</v>
      </c>
      <c r="N11" s="34"/>
      <c r="O11" s="35">
        <f>SUMIF(ssg1.1,teama4,ssr1.1)</f>
        <v>7</v>
      </c>
      <c r="P11" s="35">
        <f>SUMIF(ssg1.2,teama4,ssr1.2)</f>
        <v>0</v>
      </c>
      <c r="Q11" s="35">
        <f>SUMIF(ssg1.1,teama4,ssr1.2)</f>
        <v>5</v>
      </c>
      <c r="R11" s="35">
        <f>SUMIF(ssg1.2,teama4,ssr1.1)</f>
        <v>0</v>
      </c>
      <c r="S11" s="35">
        <f>SUMIF(ssg2.1,teama4,ssr2.1)</f>
        <v>0</v>
      </c>
      <c r="T11" s="35">
        <f>SUMIF(ssg2.2,teama4,ssr2.2)</f>
        <v>11</v>
      </c>
      <c r="U11" s="35">
        <f>SUMIF(ssg2.1,teama4,ssr2.2)</f>
        <v>0</v>
      </c>
      <c r="V11" s="35">
        <f>SUMIF(ssg2.2,teama4,ssr2.1)</f>
        <v>4</v>
      </c>
      <c r="W11" s="35">
        <f>SUMIF(ssg3.1,teama4,ssr3.1)</f>
        <v>14</v>
      </c>
      <c r="X11" s="35">
        <f>SUMIF(ssg3.2,teama4,ssr3.2)</f>
        <v>0</v>
      </c>
      <c r="Y11" s="35">
        <f>SUMIF(ssg3.1,teama4,ssr3.2)</f>
        <v>4</v>
      </c>
      <c r="Z11" s="35">
        <f>SUMIF(ssg3.2,teama4,ssr3.1)</f>
        <v>0</v>
      </c>
      <c r="AA11" s="35">
        <f>SUMIF(ssg4.1,teama4,ssr4.1)</f>
        <v>9</v>
      </c>
      <c r="AB11" s="35">
        <f>SUMIF(ssg4.2,teama4,ssr4.2)</f>
        <v>0</v>
      </c>
      <c r="AC11" s="35">
        <f>SUMIF(ssg4.1,teama4,ssr4.2)</f>
        <v>4</v>
      </c>
      <c r="AD11" s="35">
        <f>SUMIF(ssg4.2,teama4,ssr4.1)</f>
        <v>0</v>
      </c>
      <c r="AE11" s="35">
        <f>SUMIF(ssg5.1,teama4,ssr5.1)</f>
        <v>17</v>
      </c>
      <c r="AF11" s="35">
        <f>SUMIF(ssg5.2,teama4,ssr5.2)</f>
        <v>0</v>
      </c>
      <c r="AG11" s="35">
        <f>SUMIF(ssg5.1,teama4,ssr5.2)</f>
        <v>2</v>
      </c>
      <c r="AH11" s="35">
        <f>SUMIF(ssg5.2,teama4,ssr5.1)</f>
        <v>0</v>
      </c>
      <c r="AI11" s="35">
        <f>SUMIF(ssg6.1,teama4,ssr6.1)</f>
        <v>11</v>
      </c>
      <c r="AJ11" s="35">
        <f>SUMIF(ssg6.2,teama4,ssr6.2)</f>
        <v>0</v>
      </c>
      <c r="AK11" s="35">
        <f>SUMIF(ssg6.1,teama4,ssr6.2)</f>
        <v>2</v>
      </c>
      <c r="AL11" s="35">
        <f>SUMIF(ssg6.2,teama4,ssr6.1)</f>
        <v>0</v>
      </c>
      <c r="AM11" s="35">
        <f>SUMIF(ssg7.1,teama4,ssr7.1)</f>
        <v>12</v>
      </c>
      <c r="AN11" s="35">
        <f>SUMIF(ssg7.2,teama4,ssr7.2)</f>
        <v>0</v>
      </c>
      <c r="AO11" s="35">
        <f>SUMIF(ssg7.1,teama4,ssr7.2)</f>
        <v>7</v>
      </c>
      <c r="AP11" s="35">
        <f>SUMIF(ssg7.2,teama4,ssr7.1)</f>
        <v>0</v>
      </c>
      <c r="AQ11" s="35">
        <f>SUMIF(ssg8.1,teama4,ssr8.1)</f>
        <v>0</v>
      </c>
      <c r="AR11" s="35">
        <f>SUMIF(ssg8.2,teama4,ssr8.2)</f>
        <v>7</v>
      </c>
      <c r="AS11" s="35">
        <f>SUMIF(ssg8.1,teama4,ssr8.2)</f>
        <v>0</v>
      </c>
      <c r="AT11" s="35">
        <f>SUMIF(ssg8.2,teama4,ssr8.1)</f>
        <v>9</v>
      </c>
      <c r="AU11" s="35">
        <f>SUMIF(ssg9.1,teama4,ssr9.1)</f>
        <v>0</v>
      </c>
      <c r="AV11" s="35">
        <f>SUMIF(ssg9.2,teama4,ssr9.2)</f>
        <v>4</v>
      </c>
      <c r="AW11" s="35">
        <f>SUMIF(ssg9.1,teama4,ssr9.2)</f>
        <v>0</v>
      </c>
      <c r="AX11" s="35">
        <f>SUMIF(ssg9.2,teama4,ssr9.1)</f>
        <v>11</v>
      </c>
      <c r="AY11" s="33">
        <f t="shared" si="27"/>
        <v>92</v>
      </c>
      <c r="AZ11" s="33">
        <f t="shared" si="28"/>
        <v>48</v>
      </c>
      <c r="BD11" s="6">
        <f t="shared" si="2"/>
        <v>2</v>
      </c>
      <c r="BE11" s="6">
        <f t="shared" si="3"/>
        <v>2</v>
      </c>
      <c r="BF11" s="6">
        <f t="shared" si="4"/>
        <v>2</v>
      </c>
      <c r="BG11" s="6">
        <f t="shared" si="5"/>
        <v>2</v>
      </c>
      <c r="BH11" s="6">
        <f t="shared" si="6"/>
        <v>2</v>
      </c>
      <c r="BI11" s="6">
        <f t="shared" si="7"/>
        <v>2</v>
      </c>
      <c r="BJ11" s="6">
        <f t="shared" si="8"/>
        <v>2</v>
      </c>
      <c r="BK11" s="6">
        <f t="shared" si="9"/>
        <v>0</v>
      </c>
      <c r="BL11" s="6">
        <f t="shared" si="10"/>
        <v>0</v>
      </c>
      <c r="BM11" s="33">
        <f t="shared" si="29"/>
        <v>14</v>
      </c>
      <c r="BP11" s="33">
        <f t="shared" si="30"/>
        <v>12</v>
      </c>
      <c r="BQ11" s="33">
        <f t="shared" si="31"/>
        <v>15</v>
      </c>
      <c r="BR11" s="33">
        <f t="shared" si="32"/>
        <v>18</v>
      </c>
      <c r="BS11" s="33">
        <f t="shared" si="33"/>
        <v>13</v>
      </c>
      <c r="BT11" s="33">
        <f t="shared" si="34"/>
        <v>19</v>
      </c>
      <c r="BU11" s="33">
        <f t="shared" si="35"/>
        <v>13</v>
      </c>
      <c r="BV11" s="33">
        <f t="shared" si="36"/>
        <v>19</v>
      </c>
      <c r="BW11" s="33">
        <f t="shared" si="37"/>
        <v>16</v>
      </c>
      <c r="BX11" s="33">
        <f t="shared" si="38"/>
        <v>15</v>
      </c>
      <c r="BY11" s="33"/>
      <c r="BZ11" s="33">
        <f t="shared" si="11"/>
        <v>9</v>
      </c>
      <c r="CA11" s="6">
        <f t="shared" si="12"/>
        <v>140920524</v>
      </c>
      <c r="CB11" s="6">
        <f t="shared" si="13"/>
        <v>1</v>
      </c>
      <c r="CC11" s="6" t="str">
        <f t="shared" si="14"/>
        <v>Hertfordshire</v>
      </c>
      <c r="CD11" s="6">
        <f t="shared" si="39"/>
        <v>14</v>
      </c>
      <c r="CE11" s="6">
        <f t="shared" si="40"/>
        <v>92</v>
      </c>
      <c r="CF11" s="6">
        <f t="shared" si="40"/>
        <v>48</v>
      </c>
      <c r="CG11" s="6">
        <f t="shared" si="41"/>
        <v>0</v>
      </c>
      <c r="CH11" s="33">
        <f t="shared" si="42"/>
        <v>4</v>
      </c>
      <c r="CI11" s="33">
        <f t="shared" si="43"/>
        <v>9</v>
      </c>
      <c r="CJ11" s="6">
        <v>4</v>
      </c>
      <c r="CK11" s="36">
        <f t="shared" si="15"/>
        <v>10</v>
      </c>
      <c r="CL11" s="37" t="str">
        <f t="shared" si="16"/>
        <v>Sunderland</v>
      </c>
      <c r="CM11" s="6">
        <f t="shared" si="17"/>
        <v>9</v>
      </c>
      <c r="CN11" s="6">
        <f t="shared" si="18"/>
        <v>11</v>
      </c>
      <c r="CO11" s="6">
        <f t="shared" si="19"/>
        <v>81</v>
      </c>
      <c r="CP11" s="6">
        <f t="shared" si="20"/>
        <v>52</v>
      </c>
      <c r="CQ11" s="6">
        <f t="shared" si="21"/>
        <v>0</v>
      </c>
      <c r="CR11" s="6">
        <f t="shared" si="22"/>
        <v>110810480</v>
      </c>
      <c r="CS11" s="38">
        <f t="shared" si="23"/>
        <v>4</v>
      </c>
      <c r="CU11" s="39" t="str">
        <f t="shared" si="24"/>
        <v>Hertfordshire</v>
      </c>
      <c r="CV11" s="40"/>
    </row>
    <row r="12" spans="1:100" s="6" customFormat="1" ht="18.75">
      <c r="A12" s="41">
        <v>5</v>
      </c>
      <c r="B12" s="42" t="s">
        <v>51</v>
      </c>
      <c r="C12" s="12"/>
      <c r="D12" s="6" t="str">
        <f t="shared" si="0"/>
        <v>Norfolk</v>
      </c>
      <c r="E12" s="6" t="str">
        <f t="shared" si="1"/>
        <v>Suffolk</v>
      </c>
      <c r="F12" s="80" t="str">
        <f t="shared" si="25"/>
        <v>Norfolk v. Suffolk</v>
      </c>
      <c r="G12" s="47">
        <f t="shared" si="26"/>
        <v>2</v>
      </c>
      <c r="H12" s="81">
        <v>5</v>
      </c>
      <c r="I12" s="47" t="s">
        <v>47</v>
      </c>
      <c r="J12" s="82">
        <v>9</v>
      </c>
      <c r="K12" s="8"/>
      <c r="L12" s="83">
        <v>8</v>
      </c>
      <c r="M12" s="83">
        <v>6</v>
      </c>
      <c r="N12" s="34"/>
      <c r="O12" s="35">
        <f>SUMIF(ssg1.1,teama5,ssr1.1)</f>
        <v>8</v>
      </c>
      <c r="P12" s="35">
        <f>SUMIF(ssg1.2,teama5,ssr1.2)</f>
        <v>0</v>
      </c>
      <c r="Q12" s="35">
        <f>SUMIF(ssg1.1,teama5,ssr1.2)</f>
        <v>6</v>
      </c>
      <c r="R12" s="35">
        <f>SUMIF(ssg1.2,teama5,ssr1.1)</f>
        <v>0</v>
      </c>
      <c r="S12" s="35">
        <f>SUMIF(ssg2.1,teama5,ssr2.1)</f>
        <v>2</v>
      </c>
      <c r="T12" s="35">
        <f>SUMIF(ssg2.2,teama5,ssr2.2)</f>
        <v>0</v>
      </c>
      <c r="U12" s="35">
        <f>SUMIF(ssg2.1,teama5,ssr2.2)</f>
        <v>12</v>
      </c>
      <c r="V12" s="35">
        <f>SUMIF(ssg2.2,teama5,ssr2.1)</f>
        <v>0</v>
      </c>
      <c r="W12" s="35">
        <f>SUMIF(ssg3.1,teama5,ssr3.1)</f>
        <v>0</v>
      </c>
      <c r="X12" s="35">
        <f>SUMIF(ssg3.2,teama5,ssr3.2)</f>
        <v>7</v>
      </c>
      <c r="Y12" s="35">
        <f>SUMIF(ssg3.1,teama5,ssr3.2)</f>
        <v>0</v>
      </c>
      <c r="Z12" s="35">
        <f>SUMIF(ssg3.2,teama5,ssr3.1)</f>
        <v>6</v>
      </c>
      <c r="AA12" s="35">
        <f>SUMIF(ssg4.1,teama5,ssr4.1)</f>
        <v>9</v>
      </c>
      <c r="AB12" s="35">
        <f>SUMIF(ssg4.2,teama5,ssr4.2)</f>
        <v>0</v>
      </c>
      <c r="AC12" s="35">
        <f>SUMIF(ssg4.1,teama5,ssr4.2)</f>
        <v>7</v>
      </c>
      <c r="AD12" s="35">
        <f>SUMIF(ssg4.2,teama5,ssr4.1)</f>
        <v>0</v>
      </c>
      <c r="AE12" s="35">
        <f>SUMIF(ssg5.1,teama5,ssr5.1)</f>
        <v>0</v>
      </c>
      <c r="AF12" s="35">
        <f>SUMIF(ssg5.2,teama5,ssr5.2)</f>
        <v>6</v>
      </c>
      <c r="AG12" s="35">
        <f>SUMIF(ssg5.1,teama5,ssr5.2)</f>
        <v>0</v>
      </c>
      <c r="AH12" s="35">
        <f>SUMIF(ssg5.2,teama5,ssr5.1)</f>
        <v>7</v>
      </c>
      <c r="AI12" s="35">
        <f>SUMIF(ssg6.1,teama5,ssr6.1)</f>
        <v>0</v>
      </c>
      <c r="AJ12" s="35">
        <f>SUMIF(ssg6.2,teama5,ssr6.2)</f>
        <v>5</v>
      </c>
      <c r="AK12" s="35">
        <f>SUMIF(ssg6.1,teama5,ssr6.2)</f>
        <v>0</v>
      </c>
      <c r="AL12" s="35">
        <f>SUMIF(ssg6.2,teama5,ssr6.1)</f>
        <v>6</v>
      </c>
      <c r="AM12" s="35">
        <f>SUMIF(ssg7.1,teama5,ssr7.1)</f>
        <v>0</v>
      </c>
      <c r="AN12" s="35">
        <f>SUMIF(ssg7.2,teama5,ssr7.2)</f>
        <v>7</v>
      </c>
      <c r="AO12" s="35">
        <f>SUMIF(ssg7.1,teama5,ssr7.2)</f>
        <v>0</v>
      </c>
      <c r="AP12" s="35">
        <f>SUMIF(ssg7.2,teama5,ssr7.1)</f>
        <v>12</v>
      </c>
      <c r="AQ12" s="35">
        <f>SUMIF(ssg8.1,teama5,ssr8.1)</f>
        <v>13</v>
      </c>
      <c r="AR12" s="35">
        <f>SUMIF(ssg8.2,teama5,ssr8.2)</f>
        <v>0</v>
      </c>
      <c r="AS12" s="35">
        <f>SUMIF(ssg8.1,teama5,ssr8.2)</f>
        <v>6</v>
      </c>
      <c r="AT12" s="35">
        <f>SUMIF(ssg8.2,teama5,ssr8.1)</f>
        <v>0</v>
      </c>
      <c r="AU12" s="35">
        <f>SUMIF(ssg9.1,teama5,ssr9.1)</f>
        <v>3</v>
      </c>
      <c r="AV12" s="35">
        <f>SUMIF(ssg9.2,teama5,ssr9.2)</f>
        <v>0</v>
      </c>
      <c r="AW12" s="35">
        <f>SUMIF(ssg9.1,teama5,ssr9.2)</f>
        <v>13</v>
      </c>
      <c r="AX12" s="35">
        <f>SUMIF(ssg9.2,teama5,ssr9.1)</f>
        <v>0</v>
      </c>
      <c r="AY12" s="33">
        <f t="shared" si="27"/>
        <v>60</v>
      </c>
      <c r="AZ12" s="33">
        <f t="shared" si="28"/>
        <v>75</v>
      </c>
      <c r="BD12" s="6">
        <f t="shared" si="2"/>
        <v>2</v>
      </c>
      <c r="BE12" s="6">
        <f t="shared" si="3"/>
        <v>0</v>
      </c>
      <c r="BF12" s="6">
        <f t="shared" si="4"/>
        <v>2</v>
      </c>
      <c r="BG12" s="6">
        <f t="shared" si="5"/>
        <v>2</v>
      </c>
      <c r="BH12" s="6">
        <f t="shared" si="6"/>
        <v>0</v>
      </c>
      <c r="BI12" s="6">
        <f t="shared" si="7"/>
        <v>0</v>
      </c>
      <c r="BJ12" s="6">
        <f t="shared" si="8"/>
        <v>0</v>
      </c>
      <c r="BK12" s="6">
        <f t="shared" si="9"/>
        <v>2</v>
      </c>
      <c r="BL12" s="6">
        <f t="shared" si="10"/>
        <v>0</v>
      </c>
      <c r="BM12" s="33">
        <f t="shared" si="29"/>
        <v>8</v>
      </c>
      <c r="BP12" s="33">
        <f t="shared" si="30"/>
        <v>14</v>
      </c>
      <c r="BQ12" s="33">
        <f t="shared" si="31"/>
        <v>14</v>
      </c>
      <c r="BR12" s="33">
        <f t="shared" si="32"/>
        <v>13</v>
      </c>
      <c r="BS12" s="33">
        <f t="shared" si="33"/>
        <v>16</v>
      </c>
      <c r="BT12" s="33">
        <f t="shared" si="34"/>
        <v>13</v>
      </c>
      <c r="BU12" s="33">
        <f t="shared" si="35"/>
        <v>11</v>
      </c>
      <c r="BV12" s="33">
        <f t="shared" si="36"/>
        <v>19</v>
      </c>
      <c r="BW12" s="33">
        <f t="shared" si="37"/>
        <v>19</v>
      </c>
      <c r="BX12" s="33">
        <f t="shared" si="38"/>
        <v>16</v>
      </c>
      <c r="BY12" s="33"/>
      <c r="BZ12" s="33">
        <f t="shared" si="11"/>
        <v>9</v>
      </c>
      <c r="CA12" s="6">
        <f t="shared" si="12"/>
        <v>80600255</v>
      </c>
      <c r="CB12" s="6">
        <f t="shared" si="13"/>
        <v>7</v>
      </c>
      <c r="CC12" s="6" t="str">
        <f t="shared" si="14"/>
        <v>Norfolk</v>
      </c>
      <c r="CD12" s="6">
        <f t="shared" si="39"/>
        <v>8</v>
      </c>
      <c r="CE12" s="6">
        <f t="shared" si="40"/>
        <v>60</v>
      </c>
      <c r="CF12" s="6">
        <f t="shared" si="40"/>
        <v>75</v>
      </c>
      <c r="CG12" s="6">
        <f t="shared" si="41"/>
        <v>0</v>
      </c>
      <c r="CH12" s="33">
        <f t="shared" si="42"/>
        <v>5</v>
      </c>
      <c r="CI12" s="33">
        <f t="shared" si="43"/>
        <v>9</v>
      </c>
      <c r="CJ12" s="6">
        <v>5</v>
      </c>
      <c r="CK12" s="36">
        <f t="shared" si="15"/>
        <v>3</v>
      </c>
      <c r="CL12" s="37" t="str">
        <f t="shared" si="16"/>
        <v>Essex</v>
      </c>
      <c r="CM12" s="6">
        <f t="shared" si="17"/>
        <v>9</v>
      </c>
      <c r="CN12" s="6">
        <f t="shared" si="18"/>
        <v>11</v>
      </c>
      <c r="CO12" s="6">
        <f t="shared" si="19"/>
        <v>74</v>
      </c>
      <c r="CP12" s="6">
        <f t="shared" si="20"/>
        <v>72</v>
      </c>
      <c r="CQ12" s="6">
        <f t="shared" si="21"/>
        <v>0</v>
      </c>
      <c r="CR12" s="6">
        <f t="shared" si="22"/>
        <v>110740280</v>
      </c>
      <c r="CS12" s="38">
        <f t="shared" si="23"/>
        <v>5</v>
      </c>
      <c r="CU12" s="39" t="str">
        <f t="shared" si="24"/>
        <v>Norfolk</v>
      </c>
      <c r="CV12" s="40"/>
    </row>
    <row r="13" spans="1:100" s="6" customFormat="1" ht="18">
      <c r="A13" s="41">
        <v>6</v>
      </c>
      <c r="B13" s="42" t="s">
        <v>78</v>
      </c>
      <c r="D13" s="6" t="str">
        <f t="shared" si="0"/>
        <v>North Tyneside</v>
      </c>
      <c r="E13" s="6" t="str">
        <f t="shared" si="1"/>
        <v>South Tyneside</v>
      </c>
      <c r="F13" s="74" t="str">
        <f t="shared" si="25"/>
        <v>North Tyneside v. South Tyneside</v>
      </c>
      <c r="G13" s="75">
        <f>IF(ISNUMBER(SEARCH("0",F13)),1,2)</f>
        <v>2</v>
      </c>
      <c r="H13" s="76">
        <v>6</v>
      </c>
      <c r="I13" s="75" t="s">
        <v>47</v>
      </c>
      <c r="J13" s="77">
        <v>8</v>
      </c>
      <c r="K13" s="33"/>
      <c r="L13" s="83">
        <v>8</v>
      </c>
      <c r="M13" s="83">
        <v>8</v>
      </c>
      <c r="O13" s="35">
        <f>SUMIF(ssg1.1,teama6,ssr1.1)</f>
        <v>8</v>
      </c>
      <c r="P13" s="35">
        <f>SUMIF(ssg1.2,teama6,ssr1.2)</f>
        <v>0</v>
      </c>
      <c r="Q13" s="35">
        <f>SUMIF(ssg1.1,teama6,ssr1.2)</f>
        <v>7</v>
      </c>
      <c r="R13" s="35">
        <f>SUMIF(ssg1.2,teama6,ssr1.1)</f>
        <v>0</v>
      </c>
      <c r="S13" s="35">
        <f>SUMIF(ssg2.1,teama6,ssr2.1)</f>
        <v>8</v>
      </c>
      <c r="T13" s="35">
        <f>SUMIF(ssg2.2,teama6,ssr2.2)</f>
        <v>0</v>
      </c>
      <c r="U13" s="35">
        <f>SUMIF(ssg2.1,teama6,ssr2.2)</f>
        <v>8</v>
      </c>
      <c r="V13" s="35">
        <f>SUMIF(ssg2.2,teama6,ssr2.1)</f>
        <v>0</v>
      </c>
      <c r="W13" s="35">
        <f>SUMIF(ssg3.1,teama6,ssr3.1)</f>
        <v>0</v>
      </c>
      <c r="X13" s="35">
        <f>SUMIF(ssg3.2,teama6,ssr3.2)</f>
        <v>7</v>
      </c>
      <c r="Y13" s="35">
        <f>SUMIF(ssg3.1,teama6,ssr3.2)</f>
        <v>0</v>
      </c>
      <c r="Z13" s="35">
        <f>SUMIF(ssg3.2,teama6,ssr3.1)</f>
        <v>8</v>
      </c>
      <c r="AA13" s="35">
        <f>SUMIF(ssg4.1,teama6,ssr4.1)</f>
        <v>0</v>
      </c>
      <c r="AB13" s="35">
        <f>SUMIF(ssg4.2,teama6,ssr4.2)</f>
        <v>5</v>
      </c>
      <c r="AC13" s="35">
        <f>SUMIF(ssg4.1,teama6,ssr4.2)</f>
        <v>0</v>
      </c>
      <c r="AD13" s="35">
        <f>SUMIF(ssg4.2,teama6,ssr4.1)</f>
        <v>11</v>
      </c>
      <c r="AE13" s="35">
        <f>SUMIF(ssg5.1,teama6,ssr5.1)</f>
        <v>0</v>
      </c>
      <c r="AF13" s="35">
        <f>SUMIF(ssg5.2,teama6,ssr5.2)</f>
        <v>2</v>
      </c>
      <c r="AG13" s="35">
        <f>SUMIF(ssg5.1,teama6,ssr5.2)</f>
        <v>0</v>
      </c>
      <c r="AH13" s="35">
        <f>SUMIF(ssg5.2,teama6,ssr5.1)</f>
        <v>17</v>
      </c>
      <c r="AI13" s="35">
        <f>SUMIF(ssg6.1,teama6,ssr6.1)</f>
        <v>7</v>
      </c>
      <c r="AJ13" s="35">
        <f>SUMIF(ssg6.2,teama6,ssr6.2)</f>
        <v>0</v>
      </c>
      <c r="AK13" s="35">
        <f>SUMIF(ssg6.1,teama6,ssr6.2)</f>
        <v>9</v>
      </c>
      <c r="AL13" s="35">
        <f>SUMIF(ssg6.2,teama6,ssr6.1)</f>
        <v>0</v>
      </c>
      <c r="AM13" s="35">
        <f>SUMIF(ssg7.1,teama6,ssr7.1)</f>
        <v>4</v>
      </c>
      <c r="AN13" s="35">
        <f>SUMIF(ssg7.2,teama6,ssr7.2)</f>
        <v>0</v>
      </c>
      <c r="AO13" s="35">
        <f>SUMIF(ssg7.1,teama6,ssr7.2)</f>
        <v>8</v>
      </c>
      <c r="AP13" s="35">
        <f>SUMIF(ssg7.2,teama6,ssr7.1)</f>
        <v>0</v>
      </c>
      <c r="AQ13" s="35">
        <f>SUMIF(ssg8.1,teama6,ssr8.1)</f>
        <v>0</v>
      </c>
      <c r="AR13" s="35">
        <f>SUMIF(ssg8.2,teama6,ssr8.2)</f>
        <v>6</v>
      </c>
      <c r="AS13" s="35">
        <f>SUMIF(ssg8.1,teama6,ssr8.2)</f>
        <v>0</v>
      </c>
      <c r="AT13" s="35">
        <f>SUMIF(ssg8.2,teama6,ssr8.1)</f>
        <v>9</v>
      </c>
      <c r="AU13" s="35">
        <f>SUMIF(ssg9.1,teama6,ssr9.1)</f>
        <v>0</v>
      </c>
      <c r="AV13" s="35">
        <f>SUMIF(ssg9.2,teama6,ssr9.2)</f>
        <v>13</v>
      </c>
      <c r="AW13" s="35">
        <f>SUMIF(ssg9.1,teama6,ssr9.2)</f>
        <v>0</v>
      </c>
      <c r="AX13" s="35">
        <f>SUMIF(ssg9.2,teama6,ssr9.1)</f>
        <v>3</v>
      </c>
      <c r="AY13" s="33">
        <f t="shared" si="27"/>
        <v>60</v>
      </c>
      <c r="AZ13" s="33">
        <f t="shared" si="28"/>
        <v>80</v>
      </c>
      <c r="BD13" s="6">
        <f t="shared" si="2"/>
        <v>2</v>
      </c>
      <c r="BE13" s="6">
        <f t="shared" si="3"/>
        <v>1</v>
      </c>
      <c r="BF13" s="6">
        <f t="shared" si="4"/>
        <v>0</v>
      </c>
      <c r="BG13" s="6">
        <f t="shared" si="5"/>
        <v>0</v>
      </c>
      <c r="BH13" s="6">
        <f t="shared" si="6"/>
        <v>0</v>
      </c>
      <c r="BI13" s="6">
        <f t="shared" si="7"/>
        <v>0</v>
      </c>
      <c r="BJ13" s="6">
        <f t="shared" si="8"/>
        <v>0</v>
      </c>
      <c r="BK13" s="6">
        <f t="shared" si="9"/>
        <v>0</v>
      </c>
      <c r="BL13" s="6">
        <f t="shared" si="10"/>
        <v>2</v>
      </c>
      <c r="BM13" s="33">
        <f t="shared" si="29"/>
        <v>5</v>
      </c>
      <c r="BP13" s="33">
        <f t="shared" si="30"/>
        <v>15</v>
      </c>
      <c r="BQ13" s="33">
        <f t="shared" si="31"/>
        <v>16</v>
      </c>
      <c r="BR13" s="33">
        <f t="shared" si="32"/>
        <v>15</v>
      </c>
      <c r="BS13" s="33">
        <f t="shared" si="33"/>
        <v>16</v>
      </c>
      <c r="BT13" s="33">
        <f t="shared" si="34"/>
        <v>19</v>
      </c>
      <c r="BU13" s="33">
        <f t="shared" si="35"/>
        <v>16</v>
      </c>
      <c r="BV13" s="33">
        <f t="shared" si="36"/>
        <v>12</v>
      </c>
      <c r="BW13" s="33">
        <f t="shared" si="37"/>
        <v>15</v>
      </c>
      <c r="BX13" s="33">
        <f t="shared" si="38"/>
        <v>16</v>
      </c>
      <c r="BY13" s="33"/>
      <c r="BZ13" s="33">
        <f t="shared" si="11"/>
        <v>9</v>
      </c>
      <c r="CA13" s="6">
        <f t="shared" si="12"/>
        <v>50600206</v>
      </c>
      <c r="CB13" s="6">
        <f t="shared" si="13"/>
        <v>8</v>
      </c>
      <c r="CC13" s="6" t="str">
        <f t="shared" si="14"/>
        <v>North Tyneside</v>
      </c>
      <c r="CD13" s="6">
        <f t="shared" si="39"/>
        <v>5</v>
      </c>
      <c r="CE13" s="6">
        <f t="shared" si="40"/>
        <v>60</v>
      </c>
      <c r="CF13" s="6">
        <f t="shared" si="40"/>
        <v>80</v>
      </c>
      <c r="CG13" s="6">
        <f t="shared" si="41"/>
        <v>0</v>
      </c>
      <c r="CH13" s="33">
        <f t="shared" si="42"/>
        <v>6</v>
      </c>
      <c r="CI13" s="33">
        <f t="shared" si="43"/>
        <v>9</v>
      </c>
      <c r="CJ13" s="6">
        <v>6</v>
      </c>
      <c r="CK13" s="36">
        <f t="shared" si="15"/>
        <v>2</v>
      </c>
      <c r="CL13" s="37" t="str">
        <f t="shared" si="16"/>
        <v>Durham</v>
      </c>
      <c r="CM13" s="6">
        <f t="shared" si="17"/>
        <v>9</v>
      </c>
      <c r="CN13" s="6">
        <f t="shared" si="18"/>
        <v>9</v>
      </c>
      <c r="CO13" s="6">
        <f t="shared" si="19"/>
        <v>61</v>
      </c>
      <c r="CP13" s="6">
        <f t="shared" si="20"/>
        <v>69</v>
      </c>
      <c r="CQ13" s="6">
        <f t="shared" si="21"/>
        <v>0</v>
      </c>
      <c r="CR13" s="6">
        <f t="shared" si="22"/>
        <v>90610310</v>
      </c>
      <c r="CS13" s="38">
        <f t="shared" si="23"/>
        <v>6</v>
      </c>
      <c r="CU13" s="39" t="str">
        <f t="shared" si="24"/>
        <v>North Tyneside</v>
      </c>
      <c r="CV13" s="40"/>
    </row>
    <row r="14" spans="1:100" s="6" customFormat="1" ht="18">
      <c r="A14" s="41">
        <v>7</v>
      </c>
      <c r="B14" s="42" t="s">
        <v>80</v>
      </c>
      <c r="D14" s="6" t="str">
        <f t="shared" si="0"/>
        <v>Northumberland</v>
      </c>
      <c r="E14" s="6" t="str">
        <f t="shared" si="1"/>
        <v>Suffolk</v>
      </c>
      <c r="F14" s="78" t="str">
        <f t="shared" si="25"/>
        <v>Northumberland v. Suffolk</v>
      </c>
      <c r="G14" s="6">
        <f>IF(ISNUMBER(SEARCH("0",F14)),1,2)</f>
        <v>2</v>
      </c>
      <c r="H14" s="33">
        <v>7</v>
      </c>
      <c r="I14" s="6" t="s">
        <v>47</v>
      </c>
      <c r="J14" s="79">
        <v>9</v>
      </c>
      <c r="K14" s="33"/>
      <c r="L14" s="83">
        <v>5</v>
      </c>
      <c r="M14" s="83">
        <v>10</v>
      </c>
      <c r="O14" s="35">
        <f>SUMIF(ssg1.1,teama7,ssr1.1)</f>
        <v>0</v>
      </c>
      <c r="P14" s="35">
        <f>SUMIF(ssg1.2,teama7,ssr1.2)</f>
        <v>7</v>
      </c>
      <c r="Q14" s="35">
        <f>SUMIF(ssg1.1,teama7,ssr1.2)</f>
        <v>0</v>
      </c>
      <c r="R14" s="35">
        <f>SUMIF(ssg1.2,teama7,ssr1.1)</f>
        <v>8</v>
      </c>
      <c r="S14" s="35">
        <f>SUMIF(ssg2.1,teama7,ssr2.1)</f>
        <v>5</v>
      </c>
      <c r="T14" s="35">
        <f>SUMIF(ssg2.2,teama7,ssr2.2)</f>
        <v>0</v>
      </c>
      <c r="U14" s="35">
        <f>SUMIF(ssg2.1,teama7,ssr2.2)</f>
        <v>10</v>
      </c>
      <c r="V14" s="35">
        <f>SUMIF(ssg2.2,teama7,ssr2.1)</f>
        <v>0</v>
      </c>
      <c r="W14" s="35">
        <f>SUMIF(ssg3.1,teama7,ssr3.1)</f>
        <v>0</v>
      </c>
      <c r="X14" s="35">
        <f>SUMIF(ssg3.2,teama7,ssr3.2)</f>
        <v>4</v>
      </c>
      <c r="Y14" s="35">
        <f>SUMIF(ssg3.1,teama7,ssr3.2)</f>
        <v>0</v>
      </c>
      <c r="Z14" s="35">
        <f>SUMIF(ssg3.2,teama7,ssr3.1)</f>
        <v>14</v>
      </c>
      <c r="AA14" s="35">
        <f>SUMIF(ssg4.1,teama7,ssr4.1)</f>
        <v>0</v>
      </c>
      <c r="AB14" s="35">
        <f>SUMIF(ssg4.2,teama7,ssr4.2)</f>
        <v>8</v>
      </c>
      <c r="AC14" s="35">
        <f>SUMIF(ssg4.1,teama7,ssr4.2)</f>
        <v>0</v>
      </c>
      <c r="AD14" s="35">
        <f>SUMIF(ssg4.2,teama7,ssr4.1)</f>
        <v>11</v>
      </c>
      <c r="AE14" s="35">
        <f>SUMIF(ssg5.1,teama7,ssr5.1)</f>
        <v>2</v>
      </c>
      <c r="AF14" s="35">
        <f>SUMIF(ssg5.2,teama7,ssr5.2)</f>
        <v>0</v>
      </c>
      <c r="AG14" s="35">
        <f>SUMIF(ssg5.1,teama7,ssr5.2)</f>
        <v>14</v>
      </c>
      <c r="AH14" s="35">
        <f>SUMIF(ssg5.2,teama7,ssr5.1)</f>
        <v>0</v>
      </c>
      <c r="AI14" s="35">
        <f>SUMIF(ssg6.1,teama7,ssr6.1)</f>
        <v>0</v>
      </c>
      <c r="AJ14" s="35">
        <f>SUMIF(ssg6.2,teama7,ssr6.2)</f>
        <v>10</v>
      </c>
      <c r="AK14" s="35">
        <f>SUMIF(ssg6.1,teama7,ssr6.2)</f>
        <v>0</v>
      </c>
      <c r="AL14" s="35">
        <f>SUMIF(ssg6.2,teama7,ssr6.1)</f>
        <v>4</v>
      </c>
      <c r="AM14" s="35">
        <f>SUMIF(ssg7.1,teama7,ssr7.1)</f>
        <v>0</v>
      </c>
      <c r="AN14" s="35">
        <f>SUMIF(ssg7.2,teama7,ssr7.2)</f>
        <v>9</v>
      </c>
      <c r="AO14" s="35">
        <f>SUMIF(ssg7.1,teama7,ssr7.2)</f>
        <v>0</v>
      </c>
      <c r="AP14" s="35">
        <f>SUMIF(ssg7.2,teama7,ssr7.1)</f>
        <v>1</v>
      </c>
      <c r="AQ14" s="35">
        <f>SUMIF(ssg8.1,teama7,ssr8.1)</f>
        <v>0</v>
      </c>
      <c r="AR14" s="35">
        <f>SUMIF(ssg8.2,teama7,ssr8.2)</f>
        <v>6</v>
      </c>
      <c r="AS14" s="35">
        <f>SUMIF(ssg8.1,teama7,ssr8.2)</f>
        <v>0</v>
      </c>
      <c r="AT14" s="35">
        <f>SUMIF(ssg8.2,teama7,ssr8.1)</f>
        <v>13</v>
      </c>
      <c r="AU14" s="35">
        <f>SUMIF(ssg9.1,teama7,ssr9.1)</f>
        <v>8</v>
      </c>
      <c r="AV14" s="35">
        <f>SUMIF(ssg9.2,teama7,ssr9.2)</f>
        <v>0</v>
      </c>
      <c r="AW14" s="35">
        <f>SUMIF(ssg9.1,teama7,ssr9.2)</f>
        <v>8</v>
      </c>
      <c r="AX14" s="35">
        <f>SUMIF(ssg9.2,teama7,ssr9.1)</f>
        <v>0</v>
      </c>
      <c r="AY14" s="33">
        <f t="shared" si="27"/>
        <v>59</v>
      </c>
      <c r="AZ14" s="33">
        <f t="shared" si="28"/>
        <v>83</v>
      </c>
      <c r="BD14" s="6">
        <f t="shared" si="2"/>
        <v>0</v>
      </c>
      <c r="BE14" s="6">
        <f t="shared" si="3"/>
        <v>0</v>
      </c>
      <c r="BF14" s="6">
        <f t="shared" si="4"/>
        <v>0</v>
      </c>
      <c r="BG14" s="6">
        <f t="shared" si="5"/>
        <v>0</v>
      </c>
      <c r="BH14" s="6">
        <f t="shared" si="6"/>
        <v>0</v>
      </c>
      <c r="BI14" s="6">
        <f t="shared" si="7"/>
        <v>2</v>
      </c>
      <c r="BJ14" s="6">
        <f t="shared" si="8"/>
        <v>2</v>
      </c>
      <c r="BK14" s="6">
        <f t="shared" si="9"/>
        <v>0</v>
      </c>
      <c r="BL14" s="6">
        <f t="shared" si="10"/>
        <v>1</v>
      </c>
      <c r="BM14" s="33">
        <f t="shared" si="29"/>
        <v>5</v>
      </c>
      <c r="BP14" s="33">
        <f t="shared" si="30"/>
        <v>15</v>
      </c>
      <c r="BQ14" s="33">
        <f t="shared" si="31"/>
        <v>15</v>
      </c>
      <c r="BR14" s="33">
        <f t="shared" si="32"/>
        <v>18</v>
      </c>
      <c r="BS14" s="33">
        <f t="shared" si="33"/>
        <v>19</v>
      </c>
      <c r="BT14" s="33">
        <f t="shared" si="34"/>
        <v>16</v>
      </c>
      <c r="BU14" s="33">
        <f t="shared" si="35"/>
        <v>14</v>
      </c>
      <c r="BV14" s="33">
        <f t="shared" si="36"/>
        <v>10</v>
      </c>
      <c r="BW14" s="33">
        <f t="shared" si="37"/>
        <v>19</v>
      </c>
      <c r="BX14" s="33">
        <f t="shared" si="38"/>
        <v>16</v>
      </c>
      <c r="BY14" s="33"/>
      <c r="BZ14" s="33">
        <f t="shared" si="11"/>
        <v>9</v>
      </c>
      <c r="CA14" s="6">
        <f t="shared" si="12"/>
        <v>50590177</v>
      </c>
      <c r="CB14" s="6">
        <f t="shared" si="13"/>
        <v>9</v>
      </c>
      <c r="CC14" s="6" t="str">
        <f t="shared" si="14"/>
        <v>Northumberland</v>
      </c>
      <c r="CD14" s="6">
        <f t="shared" si="39"/>
        <v>5</v>
      </c>
      <c r="CE14" s="6">
        <f t="shared" si="40"/>
        <v>59</v>
      </c>
      <c r="CF14" s="6">
        <f t="shared" si="40"/>
        <v>83</v>
      </c>
      <c r="CG14" s="6">
        <f t="shared" si="41"/>
        <v>0</v>
      </c>
      <c r="CH14" s="33">
        <f t="shared" si="42"/>
        <v>7</v>
      </c>
      <c r="CI14" s="33">
        <f t="shared" si="43"/>
        <v>9</v>
      </c>
      <c r="CJ14" s="6">
        <v>7</v>
      </c>
      <c r="CK14" s="36">
        <f t="shared" si="15"/>
        <v>5</v>
      </c>
      <c r="CL14" s="37" t="str">
        <f t="shared" si="16"/>
        <v>Norfolk</v>
      </c>
      <c r="CM14" s="6">
        <f t="shared" si="17"/>
        <v>9</v>
      </c>
      <c r="CN14" s="6">
        <f t="shared" si="18"/>
        <v>8</v>
      </c>
      <c r="CO14" s="6">
        <f t="shared" si="19"/>
        <v>60</v>
      </c>
      <c r="CP14" s="6">
        <f t="shared" si="20"/>
        <v>75</v>
      </c>
      <c r="CQ14" s="6">
        <f t="shared" si="21"/>
        <v>0</v>
      </c>
      <c r="CR14" s="6">
        <f>((((CN14*1000000)+(CO14*1000)+(CP14-100)*-1))*10)+CQ14</f>
        <v>80600250</v>
      </c>
      <c r="CS14" s="38">
        <f>RANK(CR14,g01tots2)</f>
        <v>7</v>
      </c>
      <c r="CU14" s="39" t="str">
        <f>B14</f>
        <v>Northumberland</v>
      </c>
      <c r="CV14" s="40"/>
    </row>
    <row r="15" spans="1:100" s="6" customFormat="1" ht="18">
      <c r="A15" s="41">
        <v>8</v>
      </c>
      <c r="B15" s="42" t="s">
        <v>79</v>
      </c>
      <c r="D15" s="6" t="str">
        <f t="shared" si="0"/>
        <v>Norfolk</v>
      </c>
      <c r="E15" s="6" t="str">
        <f t="shared" si="1"/>
        <v>Sunderland</v>
      </c>
      <c r="F15" s="78" t="str">
        <f t="shared" si="25"/>
        <v>Norfolk v. Sunderland</v>
      </c>
      <c r="G15" s="6">
        <f t="shared" si="26"/>
        <v>2</v>
      </c>
      <c r="H15" s="33">
        <v>5</v>
      </c>
      <c r="I15" s="6" t="s">
        <v>47</v>
      </c>
      <c r="J15" s="79">
        <v>10</v>
      </c>
      <c r="K15" s="33"/>
      <c r="L15" s="83">
        <v>2</v>
      </c>
      <c r="M15" s="83">
        <v>12</v>
      </c>
      <c r="O15" s="35">
        <f>SUMIF(ssg1.1,teama8,ssr1.1)</f>
        <v>0</v>
      </c>
      <c r="P15" s="35">
        <f>SUMIF(ssg1.2,teama8,ssr1.2)</f>
        <v>3</v>
      </c>
      <c r="Q15" s="35">
        <f>SUMIF(ssg1.1,teama8,ssr1.2)</f>
        <v>0</v>
      </c>
      <c r="R15" s="35">
        <f>SUMIF(ssg1.2,teama8,ssr1.1)</f>
        <v>12</v>
      </c>
      <c r="S15" s="35">
        <f>SUMIF(ssg2.1,teama8,ssr2.1)</f>
        <v>0</v>
      </c>
      <c r="T15" s="35">
        <f>SUMIF(ssg2.2,teama8,ssr2.2)</f>
        <v>8</v>
      </c>
      <c r="U15" s="35">
        <f>SUMIF(ssg2.1,teama8,ssr2.2)</f>
        <v>0</v>
      </c>
      <c r="V15" s="35">
        <f>SUMIF(ssg2.2,teama8,ssr2.1)</f>
        <v>8</v>
      </c>
      <c r="W15" s="35">
        <f>SUMIF(ssg3.1,teama8,ssr3.1)</f>
        <v>5</v>
      </c>
      <c r="X15" s="35">
        <f>SUMIF(ssg3.2,teama8,ssr3.2)</f>
        <v>0</v>
      </c>
      <c r="Y15" s="35">
        <f>SUMIF(ssg3.1,teama8,ssr3.2)</f>
        <v>11</v>
      </c>
      <c r="Z15" s="35">
        <f>SUMIF(ssg3.2,teama8,ssr3.1)</f>
        <v>0</v>
      </c>
      <c r="AA15" s="35">
        <f>SUMIF(ssg4.1,teama8,ssr4.1)</f>
        <v>0</v>
      </c>
      <c r="AB15" s="35">
        <f>SUMIF(ssg4.2,teama8,ssr4.2)</f>
        <v>7</v>
      </c>
      <c r="AC15" s="35">
        <f>SUMIF(ssg4.1,teama8,ssr4.2)</f>
        <v>0</v>
      </c>
      <c r="AD15" s="35">
        <f>SUMIF(ssg4.2,teama8,ssr4.1)</f>
        <v>9</v>
      </c>
      <c r="AE15" s="35">
        <f>SUMIF(ssg5.1,teama8,ssr5.1)</f>
        <v>0</v>
      </c>
      <c r="AF15" s="35">
        <f>SUMIF(ssg5.2,teama8,ssr5.2)</f>
        <v>7</v>
      </c>
      <c r="AG15" s="35">
        <f>SUMIF(ssg5.1,teama8,ssr5.2)</f>
        <v>0</v>
      </c>
      <c r="AH15" s="35">
        <f>SUMIF(ssg5.2,teama8,ssr5.1)</f>
        <v>10</v>
      </c>
      <c r="AI15" s="35">
        <f>SUMIF(ssg6.1,teama8,ssr6.1)</f>
        <v>0</v>
      </c>
      <c r="AJ15" s="35">
        <f>SUMIF(ssg6.2,teama8,ssr6.2)</f>
        <v>2</v>
      </c>
      <c r="AK15" s="35">
        <f>SUMIF(ssg6.1,teama8,ssr6.2)</f>
        <v>0</v>
      </c>
      <c r="AL15" s="35">
        <f>SUMIF(ssg6.2,teama8,ssr6.1)</f>
        <v>11</v>
      </c>
      <c r="AM15" s="35">
        <f>SUMIF(ssg7.1,teama8,ssr7.1)</f>
        <v>0</v>
      </c>
      <c r="AN15" s="35">
        <f>SUMIF(ssg7.2,teama8,ssr7.2)</f>
        <v>3</v>
      </c>
      <c r="AO15" s="35">
        <f>SUMIF(ssg7.1,teama8,ssr7.2)</f>
        <v>0</v>
      </c>
      <c r="AP15" s="35">
        <f>SUMIF(ssg7.2,teama8,ssr7.1)</f>
        <v>18</v>
      </c>
      <c r="AQ15" s="35">
        <f>SUMIF(ssg8.1,teama8,ssr8.1)</f>
        <v>6</v>
      </c>
      <c r="AR15" s="35">
        <f>SUMIF(ssg8.2,teama8,ssr8.2)</f>
        <v>0</v>
      </c>
      <c r="AS15" s="35">
        <f>SUMIF(ssg8.1,teama8,ssr8.2)</f>
        <v>11</v>
      </c>
      <c r="AT15" s="35">
        <f>SUMIF(ssg8.2,teama8,ssr8.1)</f>
        <v>0</v>
      </c>
      <c r="AU15" s="35">
        <f>SUMIF(ssg9.1,teama8,ssr9.1)</f>
        <v>0</v>
      </c>
      <c r="AV15" s="35">
        <f>SUMIF(ssg9.2,teama8,ssr9.2)</f>
        <v>8</v>
      </c>
      <c r="AW15" s="35">
        <f>SUMIF(ssg9.1,teama8,ssr9.2)</f>
        <v>0</v>
      </c>
      <c r="AX15" s="35">
        <f>SUMIF(ssg9.2,teama8,ssr9.1)</f>
        <v>8</v>
      </c>
      <c r="AY15" s="33">
        <f t="shared" si="27"/>
        <v>49</v>
      </c>
      <c r="AZ15" s="33">
        <f t="shared" si="28"/>
        <v>98</v>
      </c>
      <c r="BD15" s="6">
        <f t="shared" si="2"/>
        <v>0</v>
      </c>
      <c r="BE15" s="6">
        <f t="shared" si="3"/>
        <v>1</v>
      </c>
      <c r="BF15" s="6">
        <f t="shared" si="4"/>
        <v>0</v>
      </c>
      <c r="BG15" s="6">
        <f t="shared" si="5"/>
        <v>0</v>
      </c>
      <c r="BH15" s="6">
        <f t="shared" si="6"/>
        <v>0</v>
      </c>
      <c r="BI15" s="6">
        <f t="shared" si="7"/>
        <v>0</v>
      </c>
      <c r="BJ15" s="6">
        <f t="shared" si="8"/>
        <v>0</v>
      </c>
      <c r="BK15" s="6">
        <f t="shared" si="9"/>
        <v>0</v>
      </c>
      <c r="BL15" s="6">
        <f t="shared" si="10"/>
        <v>1</v>
      </c>
      <c r="BM15" s="33">
        <f t="shared" si="29"/>
        <v>2</v>
      </c>
      <c r="BP15" s="33">
        <f t="shared" si="30"/>
        <v>15</v>
      </c>
      <c r="BQ15" s="33">
        <f t="shared" si="31"/>
        <v>16</v>
      </c>
      <c r="BR15" s="33">
        <f t="shared" si="32"/>
        <v>16</v>
      </c>
      <c r="BS15" s="33">
        <f t="shared" si="33"/>
        <v>16</v>
      </c>
      <c r="BT15" s="33">
        <f t="shared" si="34"/>
        <v>17</v>
      </c>
      <c r="BU15" s="33">
        <f t="shared" si="35"/>
        <v>13</v>
      </c>
      <c r="BV15" s="33">
        <f t="shared" si="36"/>
        <v>21</v>
      </c>
      <c r="BW15" s="33">
        <f t="shared" si="37"/>
        <v>17</v>
      </c>
      <c r="BX15" s="33">
        <f t="shared" si="38"/>
        <v>16</v>
      </c>
      <c r="BY15" s="33"/>
      <c r="BZ15" s="33">
        <f t="shared" si="11"/>
        <v>9</v>
      </c>
      <c r="CA15" s="6">
        <f t="shared" si="12"/>
        <v>20490028</v>
      </c>
      <c r="CB15" s="6">
        <f t="shared" si="13"/>
        <v>10</v>
      </c>
      <c r="CC15" s="6" t="str">
        <f t="shared" si="14"/>
        <v>South Tyneside</v>
      </c>
      <c r="CD15" s="6">
        <f t="shared" si="39"/>
        <v>2</v>
      </c>
      <c r="CE15" s="6">
        <f t="shared" si="40"/>
        <v>49</v>
      </c>
      <c r="CF15" s="6">
        <f t="shared" si="40"/>
        <v>98</v>
      </c>
      <c r="CG15" s="6">
        <f t="shared" si="41"/>
        <v>0</v>
      </c>
      <c r="CH15" s="33">
        <f t="shared" si="42"/>
        <v>8</v>
      </c>
      <c r="CI15" s="33">
        <f t="shared" si="43"/>
        <v>9</v>
      </c>
      <c r="CJ15" s="6">
        <v>8</v>
      </c>
      <c r="CK15" s="36">
        <f t="shared" si="15"/>
        <v>6</v>
      </c>
      <c r="CL15" s="37" t="str">
        <f t="shared" si="16"/>
        <v>North Tyneside</v>
      </c>
      <c r="CM15" s="6">
        <f t="shared" si="17"/>
        <v>9</v>
      </c>
      <c r="CN15" s="6">
        <f t="shared" si="18"/>
        <v>5</v>
      </c>
      <c r="CO15" s="6">
        <f t="shared" si="19"/>
        <v>60</v>
      </c>
      <c r="CP15" s="6">
        <f t="shared" si="20"/>
        <v>80</v>
      </c>
      <c r="CQ15" s="6">
        <f t="shared" si="21"/>
        <v>0</v>
      </c>
      <c r="CR15" s="6">
        <f>((((CN15*1000000)+(CO15*1000)+(CP15-100)*-1))*10)+CQ15</f>
        <v>50600200</v>
      </c>
      <c r="CS15" s="38">
        <f>RANK(CR15,g01tots2)</f>
        <v>8</v>
      </c>
      <c r="CU15" s="39" t="str">
        <f>B15</f>
        <v>South Tyneside</v>
      </c>
      <c r="CV15" s="40"/>
    </row>
    <row r="16" spans="1:100" s="6" customFormat="1" ht="18">
      <c r="A16" s="41">
        <v>9</v>
      </c>
      <c r="B16" s="42" t="s">
        <v>54</v>
      </c>
      <c r="D16" s="6" t="str">
        <f t="shared" si="0"/>
        <v>Durham</v>
      </c>
      <c r="E16" s="6" t="str">
        <f t="shared" si="1"/>
        <v>Hertfordshire</v>
      </c>
      <c r="F16" s="78" t="str">
        <f t="shared" si="25"/>
        <v>Durham v. Hertfordshire</v>
      </c>
      <c r="G16" s="6">
        <f t="shared" si="26"/>
        <v>2</v>
      </c>
      <c r="H16" s="33">
        <v>2</v>
      </c>
      <c r="I16" s="6" t="s">
        <v>47</v>
      </c>
      <c r="J16" s="79">
        <v>4</v>
      </c>
      <c r="K16" s="33"/>
      <c r="L16" s="83">
        <v>4</v>
      </c>
      <c r="M16" s="83">
        <v>11</v>
      </c>
      <c r="O16" s="35">
        <f>SUMIF(ssg1.1,teama9,ssr1.1)</f>
        <v>0</v>
      </c>
      <c r="P16" s="35">
        <f>SUMIF(ssg1.2,teama9,ssr1.2)</f>
        <v>6</v>
      </c>
      <c r="Q16" s="35">
        <f>SUMIF(ssg1.1,teama9,ssr1.2)</f>
        <v>0</v>
      </c>
      <c r="R16" s="35">
        <f>SUMIF(ssg1.2,teama9,ssr1.1)</f>
        <v>8</v>
      </c>
      <c r="S16" s="35">
        <f>SUMIF(ssg2.1,teama9,ssr2.1)</f>
        <v>0</v>
      </c>
      <c r="T16" s="35">
        <f>SUMIF(ssg2.2,teama9,ssr2.2)</f>
        <v>10</v>
      </c>
      <c r="U16" s="35">
        <f>SUMIF(ssg2.1,teama9,ssr2.2)</f>
        <v>0</v>
      </c>
      <c r="V16" s="35">
        <f>SUMIF(ssg2.2,teama9,ssr2.1)</f>
        <v>5</v>
      </c>
      <c r="W16" s="35">
        <f>SUMIF(ssg3.1,teama9,ssr3.1)</f>
        <v>0</v>
      </c>
      <c r="X16" s="35">
        <f>SUMIF(ssg3.2,teama9,ssr3.2)</f>
        <v>16</v>
      </c>
      <c r="Y16" s="35">
        <f>SUMIF(ssg3.1,teama9,ssr3.2)</f>
        <v>0</v>
      </c>
      <c r="Z16" s="35">
        <f>SUMIF(ssg3.2,teama9,ssr3.1)</f>
        <v>4</v>
      </c>
      <c r="AA16" s="35">
        <f>SUMIF(ssg4.1,teama9,ssr4.1)</f>
        <v>0</v>
      </c>
      <c r="AB16" s="35">
        <f>SUMIF(ssg4.2,teama9,ssr4.2)</f>
        <v>4</v>
      </c>
      <c r="AC16" s="35">
        <f>SUMIF(ssg4.1,teama9,ssr4.2)</f>
        <v>0</v>
      </c>
      <c r="AD16" s="35">
        <f>SUMIF(ssg4.2,teama9,ssr4.1)</f>
        <v>9</v>
      </c>
      <c r="AE16" s="35">
        <f>SUMIF(ssg5.1,teama9,ssr5.1)</f>
        <v>0</v>
      </c>
      <c r="AF16" s="35">
        <f>SUMIF(ssg5.2,teama9,ssr5.2)</f>
        <v>7</v>
      </c>
      <c r="AG16" s="35">
        <f>SUMIF(ssg5.1,teama9,ssr5.2)</f>
        <v>0</v>
      </c>
      <c r="AH16" s="35">
        <f>SUMIF(ssg5.2,teama9,ssr5.1)</f>
        <v>5</v>
      </c>
      <c r="AI16" s="35">
        <f>SUMIF(ssg6.1,teama9,ssr6.1)</f>
        <v>0</v>
      </c>
      <c r="AJ16" s="35">
        <f>SUMIF(ssg6.2,teama9,ssr6.2)</f>
        <v>9</v>
      </c>
      <c r="AK16" s="35">
        <f>SUMIF(ssg6.1,teama9,ssr6.2)</f>
        <v>0</v>
      </c>
      <c r="AL16" s="35">
        <f>SUMIF(ssg6.2,teama9,ssr6.1)</f>
        <v>7</v>
      </c>
      <c r="AM16" s="35">
        <f>SUMIF(ssg7.1,teama9,ssr7.1)</f>
        <v>0</v>
      </c>
      <c r="AN16" s="35">
        <f>SUMIF(ssg7.2,teama9,ssr7.2)</f>
        <v>8</v>
      </c>
      <c r="AO16" s="35">
        <f>SUMIF(ssg7.1,teama9,ssr7.2)</f>
        <v>0</v>
      </c>
      <c r="AP16" s="35">
        <f>SUMIF(ssg7.2,teama9,ssr7.1)</f>
        <v>8</v>
      </c>
      <c r="AQ16" s="35">
        <f>SUMIF(ssg8.1,teama9,ssr8.1)</f>
        <v>0</v>
      </c>
      <c r="AR16" s="35">
        <f>SUMIF(ssg8.2,teama9,ssr8.2)</f>
        <v>11</v>
      </c>
      <c r="AS16" s="35">
        <f>SUMIF(ssg8.1,teama9,ssr8.2)</f>
        <v>0</v>
      </c>
      <c r="AT16" s="35">
        <f>SUMIF(ssg8.2,teama9,ssr8.1)</f>
        <v>6</v>
      </c>
      <c r="AU16" s="35">
        <f>SUMIF(ssg9.1,teama9,ssr9.1)</f>
        <v>9</v>
      </c>
      <c r="AV16" s="35">
        <f>SUMIF(ssg9.2,teama9,ssr9.2)</f>
        <v>0</v>
      </c>
      <c r="AW16" s="35">
        <f>SUMIF(ssg9.1,teama9,ssr9.2)</f>
        <v>7</v>
      </c>
      <c r="AX16" s="35">
        <f>SUMIF(ssg9.2,teama9,ssr9.1)</f>
        <v>0</v>
      </c>
      <c r="AY16" s="33">
        <f t="shared" si="27"/>
        <v>80</v>
      </c>
      <c r="AZ16" s="33">
        <f t="shared" si="28"/>
        <v>59</v>
      </c>
      <c r="BD16" s="6">
        <f t="shared" si="2"/>
        <v>0</v>
      </c>
      <c r="BE16" s="6">
        <f t="shared" si="3"/>
        <v>2</v>
      </c>
      <c r="BF16" s="6">
        <f t="shared" si="4"/>
        <v>2</v>
      </c>
      <c r="BG16" s="6">
        <f t="shared" si="5"/>
        <v>0</v>
      </c>
      <c r="BH16" s="6">
        <f t="shared" si="6"/>
        <v>2</v>
      </c>
      <c r="BI16" s="6">
        <f t="shared" si="7"/>
        <v>2</v>
      </c>
      <c r="BJ16" s="6">
        <f t="shared" si="8"/>
        <v>1</v>
      </c>
      <c r="BK16" s="6">
        <f t="shared" si="9"/>
        <v>2</v>
      </c>
      <c r="BL16" s="6">
        <f t="shared" si="10"/>
        <v>2</v>
      </c>
      <c r="BM16" s="33">
        <f t="shared" si="29"/>
        <v>13</v>
      </c>
      <c r="BP16" s="33">
        <f t="shared" si="30"/>
        <v>14</v>
      </c>
      <c r="BQ16" s="33">
        <f t="shared" si="31"/>
        <v>15</v>
      </c>
      <c r="BR16" s="33">
        <f t="shared" si="32"/>
        <v>20</v>
      </c>
      <c r="BS16" s="33">
        <f t="shared" si="33"/>
        <v>13</v>
      </c>
      <c r="BT16" s="33">
        <f t="shared" si="34"/>
        <v>12</v>
      </c>
      <c r="BU16" s="33">
        <f t="shared" si="35"/>
        <v>16</v>
      </c>
      <c r="BV16" s="33">
        <f t="shared" si="36"/>
        <v>16</v>
      </c>
      <c r="BW16" s="33">
        <f t="shared" si="37"/>
        <v>17</v>
      </c>
      <c r="BX16" s="33">
        <f t="shared" si="38"/>
        <v>16</v>
      </c>
      <c r="BY16" s="33"/>
      <c r="BZ16" s="33">
        <f t="shared" si="11"/>
        <v>9</v>
      </c>
      <c r="CA16" s="6">
        <f t="shared" si="12"/>
        <v>130800419</v>
      </c>
      <c r="CB16" s="6">
        <f t="shared" si="13"/>
        <v>2</v>
      </c>
      <c r="CC16" s="6" t="str">
        <f t="shared" si="14"/>
        <v>Suffolk</v>
      </c>
      <c r="CD16" s="6">
        <f t="shared" si="39"/>
        <v>13</v>
      </c>
      <c r="CE16" s="6">
        <f t="shared" si="40"/>
        <v>80</v>
      </c>
      <c r="CF16" s="6">
        <f t="shared" si="40"/>
        <v>59</v>
      </c>
      <c r="CG16" s="6">
        <f t="shared" si="41"/>
        <v>0</v>
      </c>
      <c r="CH16" s="33">
        <f t="shared" si="42"/>
        <v>9</v>
      </c>
      <c r="CI16" s="33">
        <f t="shared" si="43"/>
        <v>9</v>
      </c>
      <c r="CJ16" s="6">
        <v>9</v>
      </c>
      <c r="CK16" s="36">
        <f t="shared" si="15"/>
        <v>7</v>
      </c>
      <c r="CL16" s="37" t="str">
        <f t="shared" si="16"/>
        <v>Northumberland</v>
      </c>
      <c r="CM16" s="6">
        <f t="shared" si="17"/>
        <v>9</v>
      </c>
      <c r="CN16" s="6">
        <f t="shared" si="18"/>
        <v>5</v>
      </c>
      <c r="CO16" s="6">
        <f t="shared" si="19"/>
        <v>59</v>
      </c>
      <c r="CP16" s="6">
        <f t="shared" si="20"/>
        <v>83</v>
      </c>
      <c r="CQ16" s="6">
        <f t="shared" si="21"/>
        <v>0</v>
      </c>
      <c r="CR16" s="6">
        <f>((((CN16*1000000)+(CO16*1000)+(CP16-100)*-1))*10)+CQ16</f>
        <v>50590170</v>
      </c>
      <c r="CS16" s="38">
        <f>RANK(CR16,g01tots2)</f>
        <v>9</v>
      </c>
      <c r="CU16" s="39" t="str">
        <f>B16</f>
        <v>Suffolk</v>
      </c>
      <c r="CV16" s="40"/>
    </row>
    <row r="17" spans="1:100" s="6" customFormat="1" ht="18.75">
      <c r="A17" s="43">
        <v>10</v>
      </c>
      <c r="B17" s="44" t="s">
        <v>55</v>
      </c>
      <c r="C17" s="45"/>
      <c r="D17" s="6" t="str">
        <f t="shared" si="0"/>
        <v>Cambridgeshire</v>
      </c>
      <c r="E17" s="6" t="str">
        <f t="shared" si="1"/>
        <v>Essex</v>
      </c>
      <c r="F17" s="80" t="str">
        <f t="shared" si="25"/>
        <v>Cambridgeshire v. Essex</v>
      </c>
      <c r="G17" s="47">
        <f t="shared" si="26"/>
        <v>2</v>
      </c>
      <c r="H17" s="81">
        <v>1</v>
      </c>
      <c r="I17" s="47" t="s">
        <v>47</v>
      </c>
      <c r="J17" s="82">
        <v>3</v>
      </c>
      <c r="K17" s="33"/>
      <c r="L17" s="83">
        <v>12</v>
      </c>
      <c r="M17" s="83">
        <v>5</v>
      </c>
      <c r="O17" s="35">
        <f>SUMIF(ssg1.1,teama10,ssr1.1)</f>
        <v>0</v>
      </c>
      <c r="P17" s="35">
        <f>SUMIF(ssg1.2,teama10,ssr1.2)</f>
        <v>5</v>
      </c>
      <c r="Q17" s="35">
        <f>SUMIF(ssg1.1,teama10,ssr1.2)</f>
        <v>0</v>
      </c>
      <c r="R17" s="35">
        <f>SUMIF(ssg1.2,teama10,ssr1.1)</f>
        <v>7</v>
      </c>
      <c r="S17" s="35">
        <f>SUMIF(ssg2.1,teama10,ssr2.1)</f>
        <v>0</v>
      </c>
      <c r="T17" s="35">
        <f>SUMIF(ssg2.2,teama10,ssr2.2)</f>
        <v>12</v>
      </c>
      <c r="U17" s="35">
        <f>SUMIF(ssg2.1,teama10,ssr2.2)</f>
        <v>0</v>
      </c>
      <c r="V17" s="35">
        <f>SUMIF(ssg2.2,teama10,ssr2.1)</f>
        <v>2</v>
      </c>
      <c r="W17" s="35">
        <f>SUMIF(ssg3.1,teama10,ssr3.1)</f>
        <v>0</v>
      </c>
      <c r="X17" s="35">
        <f>SUMIF(ssg3.2,teama10,ssr3.2)</f>
        <v>11</v>
      </c>
      <c r="Y17" s="35">
        <f>SUMIF(ssg3.1,teama10,ssr3.2)</f>
        <v>0</v>
      </c>
      <c r="Z17" s="35">
        <f>SUMIF(ssg3.2,teama10,ssr3.1)</f>
        <v>5</v>
      </c>
      <c r="AA17" s="35">
        <f>SUMIF(ssg4.1,teama10,ssr4.1)</f>
        <v>0</v>
      </c>
      <c r="AB17" s="35">
        <f>SUMIF(ssg4.2,teama10,ssr4.2)</f>
        <v>9</v>
      </c>
      <c r="AC17" s="35">
        <f>SUMIF(ssg4.1,teama10,ssr4.2)</f>
        <v>0</v>
      </c>
      <c r="AD17" s="35">
        <f>SUMIF(ssg4.2,teama10,ssr4.1)</f>
        <v>9</v>
      </c>
      <c r="AE17" s="35">
        <f>SUMIF(ssg5.1,teama10,ssr5.1)</f>
        <v>0</v>
      </c>
      <c r="AF17" s="35">
        <f>SUMIF(ssg5.2,teama10,ssr5.2)</f>
        <v>14</v>
      </c>
      <c r="AG17" s="35">
        <f>SUMIF(ssg5.1,teama10,ssr5.2)</f>
        <v>0</v>
      </c>
      <c r="AH17" s="35">
        <f>SUMIF(ssg5.2,teama10,ssr5.1)</f>
        <v>2</v>
      </c>
      <c r="AI17" s="35">
        <f>SUMIF(ssg6.1,teama10,ssr6.1)</f>
        <v>0</v>
      </c>
      <c r="AJ17" s="35">
        <f>SUMIF(ssg6.2,teama10,ssr6.2)</f>
        <v>6</v>
      </c>
      <c r="AK17" s="35">
        <f>SUMIF(ssg6.1,teama10,ssr6.2)</f>
        <v>0</v>
      </c>
      <c r="AL17" s="35">
        <f>SUMIF(ssg6.2,teama10,ssr6.1)</f>
        <v>12</v>
      </c>
      <c r="AM17" s="35">
        <f>SUMIF(ssg7.1,teama10,ssr7.1)</f>
        <v>0</v>
      </c>
      <c r="AN17" s="35">
        <f>SUMIF(ssg7.2,teama10,ssr7.2)</f>
        <v>8</v>
      </c>
      <c r="AO17" s="35">
        <f>SUMIF(ssg7.1,teama10,ssr7.2)</f>
        <v>0</v>
      </c>
      <c r="AP17" s="35">
        <f>SUMIF(ssg7.2,teama10,ssr7.1)</f>
        <v>4</v>
      </c>
      <c r="AQ17" s="35">
        <f>SUMIF(ssg8.1,teama10,ssr8.1)</f>
        <v>0</v>
      </c>
      <c r="AR17" s="35">
        <f>SUMIF(ssg8.2,teama10,ssr8.2)</f>
        <v>9</v>
      </c>
      <c r="AS17" s="35">
        <f>SUMIF(ssg8.1,teama10,ssr8.2)</f>
        <v>0</v>
      </c>
      <c r="AT17" s="35">
        <f>SUMIF(ssg8.2,teama10,ssr8.1)</f>
        <v>2</v>
      </c>
      <c r="AU17" s="35">
        <f>SUMIF(ssg9.1,teama10,ssr9.1)</f>
        <v>0</v>
      </c>
      <c r="AV17" s="35">
        <f>SUMIF(ssg9.2,teama10,ssr9.2)</f>
        <v>7</v>
      </c>
      <c r="AW17" s="35">
        <f>SUMIF(ssg9.1,teama10,ssr9.2)</f>
        <v>0</v>
      </c>
      <c r="AX17" s="35">
        <f>SUMIF(ssg9.2,teama10,ssr9.1)</f>
        <v>9</v>
      </c>
      <c r="AY17" s="33">
        <f t="shared" si="27"/>
        <v>81</v>
      </c>
      <c r="AZ17" s="33">
        <f t="shared" si="28"/>
        <v>52</v>
      </c>
      <c r="BD17" s="6">
        <f t="shared" si="2"/>
        <v>0</v>
      </c>
      <c r="BE17" s="6">
        <f t="shared" si="3"/>
        <v>2</v>
      </c>
      <c r="BF17" s="6">
        <f t="shared" si="4"/>
        <v>2</v>
      </c>
      <c r="BG17" s="6">
        <f t="shared" si="5"/>
        <v>1</v>
      </c>
      <c r="BH17" s="6">
        <f t="shared" si="6"/>
        <v>2</v>
      </c>
      <c r="BI17" s="6">
        <f t="shared" si="7"/>
        <v>0</v>
      </c>
      <c r="BJ17" s="6">
        <f t="shared" si="8"/>
        <v>2</v>
      </c>
      <c r="BK17" s="6">
        <f t="shared" si="9"/>
        <v>2</v>
      </c>
      <c r="BL17" s="6">
        <f t="shared" si="10"/>
        <v>0</v>
      </c>
      <c r="BM17" s="33">
        <f t="shared" si="29"/>
        <v>11</v>
      </c>
      <c r="BP17" s="33">
        <f t="shared" si="30"/>
        <v>12</v>
      </c>
      <c r="BQ17" s="33">
        <f t="shared" si="31"/>
        <v>14</v>
      </c>
      <c r="BR17" s="33">
        <f t="shared" si="32"/>
        <v>16</v>
      </c>
      <c r="BS17" s="33">
        <f t="shared" si="33"/>
        <v>18</v>
      </c>
      <c r="BT17" s="33">
        <f t="shared" si="34"/>
        <v>16</v>
      </c>
      <c r="BU17" s="33">
        <f t="shared" si="35"/>
        <v>18</v>
      </c>
      <c r="BV17" s="33">
        <f t="shared" si="36"/>
        <v>12</v>
      </c>
      <c r="BW17" s="33">
        <f t="shared" si="37"/>
        <v>11</v>
      </c>
      <c r="BX17" s="33">
        <f t="shared" si="38"/>
        <v>16</v>
      </c>
      <c r="BY17" s="33"/>
      <c r="BZ17" s="33">
        <f>COUNTIF(BP17:BX17,"&gt;0")</f>
        <v>9</v>
      </c>
      <c r="CA17" s="6">
        <f t="shared" si="12"/>
        <v>110810490</v>
      </c>
      <c r="CB17" s="6">
        <f t="shared" si="13"/>
        <v>4</v>
      </c>
      <c r="CC17" s="6" t="str">
        <f t="shared" si="14"/>
        <v>Sunderland</v>
      </c>
      <c r="CD17" s="6">
        <f t="shared" si="39"/>
        <v>11</v>
      </c>
      <c r="CE17" s="6">
        <f t="shared" si="40"/>
        <v>81</v>
      </c>
      <c r="CF17" s="6">
        <f t="shared" si="40"/>
        <v>52</v>
      </c>
      <c r="CG17" s="6">
        <f t="shared" si="41"/>
        <v>0</v>
      </c>
      <c r="CH17" s="33">
        <f t="shared" si="42"/>
        <v>10</v>
      </c>
      <c r="CI17" s="33">
        <f t="shared" si="43"/>
        <v>9</v>
      </c>
      <c r="CJ17" s="6">
        <v>10</v>
      </c>
      <c r="CK17" s="36">
        <f t="shared" si="15"/>
        <v>8</v>
      </c>
      <c r="CL17" s="46" t="str">
        <f t="shared" si="16"/>
        <v>South Tyneside</v>
      </c>
      <c r="CM17" s="47">
        <f t="shared" si="17"/>
        <v>9</v>
      </c>
      <c r="CN17" s="47">
        <f t="shared" si="18"/>
        <v>2</v>
      </c>
      <c r="CO17" s="47">
        <f t="shared" si="19"/>
        <v>49</v>
      </c>
      <c r="CP17" s="47">
        <f t="shared" si="20"/>
        <v>98</v>
      </c>
      <c r="CQ17" s="47">
        <f t="shared" si="21"/>
        <v>0</v>
      </c>
      <c r="CR17" s="47">
        <f>((((CN17*1000000)+(CO17*1000)+(CP17-100)*-1))*10)+CQ17</f>
        <v>20490020</v>
      </c>
      <c r="CS17" s="48">
        <f>RANK(CR17,g01tots2)</f>
        <v>10</v>
      </c>
      <c r="CU17" s="49" t="str">
        <f>B17</f>
        <v>Sunderland</v>
      </c>
      <c r="CV17" s="50"/>
    </row>
    <row r="18" spans="1:97" s="6" customFormat="1" ht="18.75">
      <c r="A18" s="33"/>
      <c r="B18" s="36"/>
      <c r="C18" s="45"/>
      <c r="D18" s="6" t="str">
        <f t="shared" si="0"/>
        <v>Essex</v>
      </c>
      <c r="E18" s="6" t="str">
        <f t="shared" si="1"/>
        <v>Suffolk</v>
      </c>
      <c r="F18" s="74" t="str">
        <f t="shared" si="25"/>
        <v>Essex v. Suffolk</v>
      </c>
      <c r="G18" s="75">
        <f t="shared" si="26"/>
        <v>2</v>
      </c>
      <c r="H18" s="76">
        <v>3</v>
      </c>
      <c r="I18" s="75" t="s">
        <v>47</v>
      </c>
      <c r="J18" s="77">
        <v>9</v>
      </c>
      <c r="K18" s="33"/>
      <c r="L18" s="83">
        <v>4</v>
      </c>
      <c r="M18" s="83">
        <v>16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Y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H18" s="33"/>
      <c r="CI18" s="33"/>
      <c r="CK18" s="36"/>
      <c r="CL18" s="36"/>
      <c r="CS18" s="51"/>
    </row>
    <row r="19" spans="1:97" s="6" customFormat="1" ht="18.75">
      <c r="A19" s="33"/>
      <c r="B19" s="36"/>
      <c r="C19" s="45"/>
      <c r="D19" s="6" t="str">
        <f t="shared" si="0"/>
        <v>Cambridgeshire</v>
      </c>
      <c r="E19" s="6" t="str">
        <f t="shared" si="1"/>
        <v>Norfolk</v>
      </c>
      <c r="F19" s="78" t="str">
        <f t="shared" si="25"/>
        <v>Cambridgeshire v. Norfolk</v>
      </c>
      <c r="G19" s="6">
        <f t="shared" si="26"/>
        <v>2</v>
      </c>
      <c r="H19" s="33">
        <v>1</v>
      </c>
      <c r="I19" s="6" t="s">
        <v>47</v>
      </c>
      <c r="J19" s="79">
        <v>5</v>
      </c>
      <c r="K19" s="33"/>
      <c r="L19" s="83">
        <v>6</v>
      </c>
      <c r="M19" s="83">
        <v>7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Y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H19" s="33"/>
      <c r="CI19" s="33"/>
      <c r="CK19" s="36"/>
      <c r="CL19" s="36"/>
      <c r="CS19" s="51"/>
    </row>
    <row r="20" spans="1:97" s="6" customFormat="1" ht="18.75">
      <c r="A20" s="33"/>
      <c r="B20" s="36"/>
      <c r="C20" s="45"/>
      <c r="D20" s="6" t="str">
        <f t="shared" si="0"/>
        <v>South Tyneside</v>
      </c>
      <c r="E20" s="6" t="str">
        <f t="shared" si="1"/>
        <v>Sunderland</v>
      </c>
      <c r="F20" s="78" t="str">
        <f t="shared" si="25"/>
        <v>South Tyneside v. Sunderland</v>
      </c>
      <c r="G20" s="6">
        <f>IF(ISNUMBER(SEARCH("0",F20)),1,2)</f>
        <v>2</v>
      </c>
      <c r="H20" s="33">
        <v>8</v>
      </c>
      <c r="I20" s="6" t="s">
        <v>47</v>
      </c>
      <c r="J20" s="79">
        <v>10</v>
      </c>
      <c r="K20" s="33"/>
      <c r="L20" s="83">
        <v>5</v>
      </c>
      <c r="M20" s="83">
        <v>11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H20" s="33"/>
      <c r="CI20" s="33"/>
      <c r="CK20" s="36"/>
      <c r="CL20" s="36"/>
      <c r="CS20" s="51"/>
    </row>
    <row r="21" spans="1:97" s="6" customFormat="1" ht="18.75">
      <c r="A21" s="33"/>
      <c r="B21" s="36"/>
      <c r="C21" s="45"/>
      <c r="D21" s="6" t="str">
        <f t="shared" si="0"/>
        <v>Durham</v>
      </c>
      <c r="E21" s="6" t="str">
        <f t="shared" si="1"/>
        <v>North Tyneside</v>
      </c>
      <c r="F21" s="78" t="str">
        <f t="shared" si="25"/>
        <v>Durham v. North Tyneside</v>
      </c>
      <c r="G21" s="6">
        <f t="shared" si="26"/>
        <v>2</v>
      </c>
      <c r="H21" s="33">
        <v>2</v>
      </c>
      <c r="I21" s="6" t="s">
        <v>47</v>
      </c>
      <c r="J21" s="79">
        <v>6</v>
      </c>
      <c r="K21" s="33"/>
      <c r="L21" s="83">
        <v>8</v>
      </c>
      <c r="M21" s="83">
        <v>7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H21" s="33"/>
      <c r="CI21" s="33"/>
      <c r="CK21" s="36"/>
      <c r="CL21" s="36"/>
      <c r="CS21" s="51"/>
    </row>
    <row r="22" spans="1:97" s="6" customFormat="1" ht="18">
      <c r="A22" s="33"/>
      <c r="B22" s="36"/>
      <c r="D22" s="6" t="str">
        <f t="shared" si="0"/>
        <v>Hertfordshire</v>
      </c>
      <c r="E22" s="6" t="str">
        <f t="shared" si="1"/>
        <v>Northumberland</v>
      </c>
      <c r="F22" s="80" t="str">
        <f t="shared" si="25"/>
        <v>Hertfordshire v. Northumberland</v>
      </c>
      <c r="G22" s="47">
        <f t="shared" si="26"/>
        <v>2</v>
      </c>
      <c r="H22" s="81">
        <v>4</v>
      </c>
      <c r="I22" s="47" t="s">
        <v>47</v>
      </c>
      <c r="J22" s="82">
        <v>7</v>
      </c>
      <c r="K22" s="33"/>
      <c r="L22" s="83">
        <v>14</v>
      </c>
      <c r="M22" s="83">
        <v>4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H22" s="33"/>
      <c r="CI22" s="33"/>
      <c r="CK22" s="36"/>
      <c r="CL22" s="36"/>
      <c r="CS22" s="51"/>
    </row>
    <row r="23" spans="4:13" ht="18.75">
      <c r="D23" s="6" t="str">
        <f t="shared" si="0"/>
        <v>Cambridgeshire</v>
      </c>
      <c r="E23" s="6" t="str">
        <f t="shared" si="1"/>
        <v>North Tyneside</v>
      </c>
      <c r="F23" s="74" t="str">
        <f t="shared" si="25"/>
        <v>Cambridgeshire v. North Tyneside</v>
      </c>
      <c r="G23" s="75">
        <f t="shared" si="26"/>
        <v>2</v>
      </c>
      <c r="H23" s="76">
        <v>1</v>
      </c>
      <c r="I23" s="75" t="s">
        <v>47</v>
      </c>
      <c r="J23" s="77">
        <v>6</v>
      </c>
      <c r="L23" s="83">
        <v>11</v>
      </c>
      <c r="M23" s="83">
        <v>5</v>
      </c>
    </row>
    <row r="24" spans="4:13" ht="18.75">
      <c r="D24" s="6" t="str">
        <f t="shared" si="0"/>
        <v>Hertfordshire</v>
      </c>
      <c r="E24" s="6" t="str">
        <f t="shared" si="1"/>
        <v>Suffolk</v>
      </c>
      <c r="F24" s="78" t="str">
        <f t="shared" si="25"/>
        <v>Hertfordshire v. Suffolk</v>
      </c>
      <c r="G24" s="6">
        <f t="shared" si="26"/>
        <v>2</v>
      </c>
      <c r="H24" s="33">
        <v>4</v>
      </c>
      <c r="I24" s="6" t="s">
        <v>47</v>
      </c>
      <c r="J24" s="79">
        <v>9</v>
      </c>
      <c r="L24" s="83">
        <v>9</v>
      </c>
      <c r="M24" s="83">
        <v>4</v>
      </c>
    </row>
    <row r="25" spans="4:13" ht="18.75">
      <c r="D25" s="6" t="str">
        <f t="shared" si="0"/>
        <v>Durham</v>
      </c>
      <c r="E25" s="6" t="str">
        <f t="shared" si="1"/>
        <v>Northumberland</v>
      </c>
      <c r="F25" s="78" t="str">
        <f t="shared" si="25"/>
        <v>Durham v. Northumberland</v>
      </c>
      <c r="G25" s="6">
        <f t="shared" si="26"/>
        <v>2</v>
      </c>
      <c r="H25" s="33">
        <v>2</v>
      </c>
      <c r="I25" s="6" t="s">
        <v>47</v>
      </c>
      <c r="J25" s="79">
        <v>7</v>
      </c>
      <c r="L25" s="83">
        <v>11</v>
      </c>
      <c r="M25" s="83">
        <v>8</v>
      </c>
    </row>
    <row r="26" spans="4:13" ht="18.75">
      <c r="D26" s="6" t="str">
        <f t="shared" si="0"/>
        <v>Norfolk</v>
      </c>
      <c r="E26" s="6" t="str">
        <f t="shared" si="1"/>
        <v>South Tyneside</v>
      </c>
      <c r="F26" s="78" t="str">
        <f t="shared" si="25"/>
        <v>Norfolk v. South Tyneside</v>
      </c>
      <c r="G26" s="6">
        <f t="shared" si="26"/>
        <v>2</v>
      </c>
      <c r="H26" s="33">
        <v>5</v>
      </c>
      <c r="I26" s="6" t="s">
        <v>47</v>
      </c>
      <c r="J26" s="79">
        <v>8</v>
      </c>
      <c r="L26" s="83">
        <v>9</v>
      </c>
      <c r="M26" s="83">
        <v>7</v>
      </c>
    </row>
    <row r="27" spans="4:13" ht="18.75">
      <c r="D27" s="6" t="str">
        <f t="shared" si="0"/>
        <v>Essex</v>
      </c>
      <c r="E27" s="6" t="str">
        <f t="shared" si="1"/>
        <v>Sunderland</v>
      </c>
      <c r="F27" s="80" t="str">
        <f t="shared" si="25"/>
        <v>Essex v. Sunderland</v>
      </c>
      <c r="G27" s="47">
        <f t="shared" si="26"/>
        <v>2</v>
      </c>
      <c r="H27" s="81">
        <v>3</v>
      </c>
      <c r="I27" s="47" t="s">
        <v>47</v>
      </c>
      <c r="J27" s="82">
        <v>10</v>
      </c>
      <c r="L27" s="83">
        <v>9</v>
      </c>
      <c r="M27" s="83">
        <v>9</v>
      </c>
    </row>
    <row r="28" spans="4:13" ht="18.75">
      <c r="D28" s="6" t="str">
        <f t="shared" si="0"/>
        <v>Hertfordshire</v>
      </c>
      <c r="E28" s="6" t="str">
        <f t="shared" si="1"/>
        <v>North Tyneside</v>
      </c>
      <c r="F28" s="74" t="str">
        <f t="shared" si="25"/>
        <v>Hertfordshire v. North Tyneside</v>
      </c>
      <c r="G28" s="75">
        <f t="shared" si="26"/>
        <v>2</v>
      </c>
      <c r="H28" s="76">
        <v>4</v>
      </c>
      <c r="I28" s="75" t="s">
        <v>47</v>
      </c>
      <c r="J28" s="77">
        <v>6</v>
      </c>
      <c r="L28" s="83">
        <v>17</v>
      </c>
      <c r="M28" s="83">
        <v>2</v>
      </c>
    </row>
    <row r="29" spans="4:13" ht="18.75">
      <c r="D29" s="6" t="str">
        <f t="shared" si="0"/>
        <v>Northumberland</v>
      </c>
      <c r="E29" s="6" t="str">
        <f t="shared" si="1"/>
        <v>Sunderland</v>
      </c>
      <c r="F29" s="78" t="str">
        <f t="shared" si="25"/>
        <v>Northumberland v. Sunderland</v>
      </c>
      <c r="G29" s="6">
        <f t="shared" si="26"/>
        <v>2</v>
      </c>
      <c r="H29" s="33">
        <v>7</v>
      </c>
      <c r="I29" s="6" t="s">
        <v>47</v>
      </c>
      <c r="J29" s="79">
        <v>10</v>
      </c>
      <c r="L29" s="83">
        <v>2</v>
      </c>
      <c r="M29" s="83">
        <v>14</v>
      </c>
    </row>
    <row r="30" spans="4:13" ht="18.75">
      <c r="D30" s="6" t="str">
        <f t="shared" si="0"/>
        <v>Essex</v>
      </c>
      <c r="E30" s="6" t="str">
        <f t="shared" si="1"/>
        <v>Norfolk</v>
      </c>
      <c r="F30" s="78" t="str">
        <f t="shared" si="25"/>
        <v>Essex v. Norfolk</v>
      </c>
      <c r="G30" s="6">
        <f t="shared" si="26"/>
        <v>2</v>
      </c>
      <c r="H30" s="33">
        <v>3</v>
      </c>
      <c r="I30" s="6" t="s">
        <v>47</v>
      </c>
      <c r="J30" s="79">
        <v>5</v>
      </c>
      <c r="L30" s="83">
        <v>7</v>
      </c>
      <c r="M30" s="83">
        <v>6</v>
      </c>
    </row>
    <row r="31" spans="4:13" ht="18.75">
      <c r="D31" s="6" t="str">
        <f t="shared" si="0"/>
        <v>Cambridgeshire</v>
      </c>
      <c r="E31" s="6" t="str">
        <f t="shared" si="1"/>
        <v>Suffolk</v>
      </c>
      <c r="F31" s="78" t="str">
        <f t="shared" si="25"/>
        <v>Cambridgeshire v. Suffolk</v>
      </c>
      <c r="G31" s="6">
        <f t="shared" si="26"/>
        <v>2</v>
      </c>
      <c r="H31" s="33">
        <v>1</v>
      </c>
      <c r="I31" s="6" t="s">
        <v>47</v>
      </c>
      <c r="J31" s="79">
        <v>9</v>
      </c>
      <c r="L31" s="83">
        <v>5</v>
      </c>
      <c r="M31" s="83">
        <v>7</v>
      </c>
    </row>
    <row r="32" spans="4:13" ht="18.75">
      <c r="D32" s="6" t="str">
        <f t="shared" si="0"/>
        <v>Durham</v>
      </c>
      <c r="E32" s="6" t="str">
        <f t="shared" si="1"/>
        <v>South Tyneside</v>
      </c>
      <c r="F32" s="80" t="str">
        <f t="shared" si="25"/>
        <v>Durham v. South Tyneside</v>
      </c>
      <c r="G32" s="47">
        <f t="shared" si="26"/>
        <v>2</v>
      </c>
      <c r="H32" s="81">
        <v>2</v>
      </c>
      <c r="I32" s="47" t="s">
        <v>47</v>
      </c>
      <c r="J32" s="82">
        <v>8</v>
      </c>
      <c r="L32" s="83">
        <v>10</v>
      </c>
      <c r="M32" s="83">
        <v>7</v>
      </c>
    </row>
    <row r="33" spans="4:13" ht="18.75">
      <c r="D33" s="6" t="str">
        <f t="shared" si="0"/>
        <v>Hertfordshire</v>
      </c>
      <c r="E33" s="6" t="str">
        <f t="shared" si="1"/>
        <v>South Tyneside</v>
      </c>
      <c r="F33" s="74" t="str">
        <f t="shared" si="25"/>
        <v>Hertfordshire v. South Tyneside</v>
      </c>
      <c r="G33" s="75">
        <f t="shared" si="26"/>
        <v>2</v>
      </c>
      <c r="H33" s="76">
        <v>4</v>
      </c>
      <c r="I33" s="75" t="s">
        <v>47</v>
      </c>
      <c r="J33" s="77">
        <v>8</v>
      </c>
      <c r="L33" s="83">
        <v>11</v>
      </c>
      <c r="M33" s="83">
        <v>2</v>
      </c>
    </row>
    <row r="34" spans="4:13" ht="18.75">
      <c r="D34" s="6" t="str">
        <f t="shared" si="0"/>
        <v>Essex</v>
      </c>
      <c r="E34" s="6" t="str">
        <f t="shared" si="1"/>
        <v>Northumberland</v>
      </c>
      <c r="F34" s="78" t="str">
        <f t="shared" si="25"/>
        <v>Essex v. Northumberland</v>
      </c>
      <c r="G34" s="6">
        <f t="shared" si="26"/>
        <v>2</v>
      </c>
      <c r="H34" s="33">
        <v>3</v>
      </c>
      <c r="I34" s="6" t="s">
        <v>47</v>
      </c>
      <c r="J34" s="79">
        <v>7</v>
      </c>
      <c r="L34" s="83">
        <v>4</v>
      </c>
      <c r="M34" s="83">
        <v>10</v>
      </c>
    </row>
    <row r="35" spans="4:13" ht="18.75">
      <c r="D35" s="6" t="str">
        <f t="shared" si="0"/>
        <v>Durham</v>
      </c>
      <c r="E35" s="6" t="str">
        <f t="shared" si="1"/>
        <v>Norfolk</v>
      </c>
      <c r="F35" s="78" t="str">
        <f t="shared" si="25"/>
        <v>Durham v. Norfolk</v>
      </c>
      <c r="G35" s="6">
        <f t="shared" si="26"/>
        <v>2</v>
      </c>
      <c r="H35" s="33">
        <v>2</v>
      </c>
      <c r="I35" s="6" t="s">
        <v>47</v>
      </c>
      <c r="J35" s="79">
        <v>5</v>
      </c>
      <c r="L35" s="83">
        <v>6</v>
      </c>
      <c r="M35" s="83">
        <v>5</v>
      </c>
    </row>
    <row r="36" spans="4:13" ht="18.75">
      <c r="D36" s="6" t="str">
        <f t="shared" si="0"/>
        <v>North Tyneside</v>
      </c>
      <c r="E36" s="6" t="str">
        <f t="shared" si="1"/>
        <v>Suffolk</v>
      </c>
      <c r="F36" s="78" t="str">
        <f t="shared" si="25"/>
        <v>North Tyneside v. Suffolk</v>
      </c>
      <c r="G36" s="6">
        <f t="shared" si="26"/>
        <v>2</v>
      </c>
      <c r="H36" s="33">
        <v>6</v>
      </c>
      <c r="I36" s="6" t="s">
        <v>47</v>
      </c>
      <c r="J36" s="79">
        <v>9</v>
      </c>
      <c r="L36" s="83">
        <v>7</v>
      </c>
      <c r="M36" s="83">
        <v>9</v>
      </c>
    </row>
    <row r="37" spans="4:13" ht="18.75">
      <c r="D37" s="6" t="str">
        <f t="shared" si="0"/>
        <v>Cambridgeshire</v>
      </c>
      <c r="E37" s="6" t="str">
        <f t="shared" si="1"/>
        <v>Sunderland</v>
      </c>
      <c r="F37" s="80" t="str">
        <f t="shared" si="25"/>
        <v>Cambridgeshire v. Sunderland</v>
      </c>
      <c r="G37" s="47">
        <f t="shared" si="26"/>
        <v>2</v>
      </c>
      <c r="H37" s="81">
        <v>1</v>
      </c>
      <c r="I37" s="47" t="s">
        <v>47</v>
      </c>
      <c r="J37" s="82">
        <v>10</v>
      </c>
      <c r="L37" s="83">
        <v>12</v>
      </c>
      <c r="M37" s="83">
        <v>6</v>
      </c>
    </row>
    <row r="38" spans="1:13" ht="18.75">
      <c r="A38" s="33"/>
      <c r="B38" s="36"/>
      <c r="D38" s="6" t="str">
        <f t="shared" si="0"/>
        <v>Essex</v>
      </c>
      <c r="E38" s="6" t="str">
        <f t="shared" si="1"/>
        <v>South Tyneside</v>
      </c>
      <c r="F38" s="74" t="str">
        <f t="shared" si="25"/>
        <v>Essex v. South Tyneside</v>
      </c>
      <c r="G38" s="75">
        <f t="shared" si="26"/>
        <v>2</v>
      </c>
      <c r="H38" s="76">
        <v>3</v>
      </c>
      <c r="I38" s="75" t="s">
        <v>47</v>
      </c>
      <c r="J38" s="77">
        <v>8</v>
      </c>
      <c r="L38" s="83">
        <v>18</v>
      </c>
      <c r="M38" s="83">
        <v>3</v>
      </c>
    </row>
    <row r="39" spans="1:13" ht="18.75">
      <c r="A39" s="33"/>
      <c r="B39" s="36"/>
      <c r="D39" s="6" t="str">
        <f t="shared" si="0"/>
        <v>Hertfordshire</v>
      </c>
      <c r="E39" s="6" t="str">
        <f t="shared" si="1"/>
        <v>Norfolk</v>
      </c>
      <c r="F39" s="78" t="str">
        <f t="shared" si="25"/>
        <v>Hertfordshire v. Norfolk</v>
      </c>
      <c r="G39" s="6">
        <f t="shared" si="26"/>
        <v>2</v>
      </c>
      <c r="H39" s="33">
        <v>4</v>
      </c>
      <c r="I39" s="6" t="s">
        <v>47</v>
      </c>
      <c r="J39" s="79">
        <v>5</v>
      </c>
      <c r="L39" s="83">
        <v>12</v>
      </c>
      <c r="M39" s="83">
        <v>7</v>
      </c>
    </row>
    <row r="40" spans="1:13" ht="18.75">
      <c r="A40" s="33"/>
      <c r="B40" s="36"/>
      <c r="D40" s="6" t="str">
        <f t="shared" si="0"/>
        <v>Durham</v>
      </c>
      <c r="E40" s="6" t="str">
        <f t="shared" si="1"/>
        <v>Suffolk</v>
      </c>
      <c r="F40" s="78" t="str">
        <f t="shared" si="25"/>
        <v>Durham v. Suffolk</v>
      </c>
      <c r="G40" s="6">
        <f t="shared" si="26"/>
        <v>2</v>
      </c>
      <c r="H40" s="33">
        <v>2</v>
      </c>
      <c r="I40" s="6" t="s">
        <v>47</v>
      </c>
      <c r="J40" s="79">
        <v>9</v>
      </c>
      <c r="L40" s="83">
        <v>8</v>
      </c>
      <c r="M40" s="83">
        <v>8</v>
      </c>
    </row>
    <row r="41" spans="1:13" ht="18.75">
      <c r="A41" s="33"/>
      <c r="B41" s="36"/>
      <c r="D41" s="6" t="str">
        <f t="shared" si="0"/>
        <v>Cambridgeshire</v>
      </c>
      <c r="E41" s="6" t="str">
        <f t="shared" si="1"/>
        <v>Northumberland</v>
      </c>
      <c r="F41" s="78" t="str">
        <f t="shared" si="25"/>
        <v>Cambridgeshire v. Northumberland</v>
      </c>
      <c r="G41" s="6">
        <f t="shared" si="26"/>
        <v>2</v>
      </c>
      <c r="H41" s="33">
        <v>1</v>
      </c>
      <c r="I41" s="6" t="s">
        <v>47</v>
      </c>
      <c r="J41" s="79">
        <v>7</v>
      </c>
      <c r="L41" s="83">
        <v>1</v>
      </c>
      <c r="M41" s="83">
        <v>9</v>
      </c>
    </row>
    <row r="42" spans="1:13" ht="18.75">
      <c r="A42" s="33"/>
      <c r="B42" s="36"/>
      <c r="D42" s="6" t="str">
        <f t="shared" si="0"/>
        <v>North Tyneside</v>
      </c>
      <c r="E42" s="6" t="str">
        <f t="shared" si="1"/>
        <v>Sunderland</v>
      </c>
      <c r="F42" s="80" t="str">
        <f t="shared" si="25"/>
        <v>North Tyneside v. Sunderland</v>
      </c>
      <c r="G42" s="47">
        <f t="shared" si="26"/>
        <v>2</v>
      </c>
      <c r="H42" s="81">
        <v>6</v>
      </c>
      <c r="I42" s="47" t="s">
        <v>47</v>
      </c>
      <c r="J42" s="82">
        <v>10</v>
      </c>
      <c r="L42" s="83">
        <v>4</v>
      </c>
      <c r="M42" s="83">
        <v>8</v>
      </c>
    </row>
    <row r="43" spans="1:13" ht="18.75">
      <c r="A43" s="33"/>
      <c r="B43" s="36"/>
      <c r="D43" s="6" t="str">
        <f t="shared" si="0"/>
        <v>Durham</v>
      </c>
      <c r="E43" s="6" t="str">
        <f t="shared" si="1"/>
        <v>Sunderland</v>
      </c>
      <c r="F43" s="74" t="str">
        <f t="shared" si="25"/>
        <v>Durham v. Sunderland</v>
      </c>
      <c r="G43" s="75">
        <f t="shared" si="26"/>
        <v>2</v>
      </c>
      <c r="H43" s="76">
        <v>2</v>
      </c>
      <c r="I43" s="75" t="s">
        <v>47</v>
      </c>
      <c r="J43" s="77">
        <v>10</v>
      </c>
      <c r="L43" s="83">
        <v>2</v>
      </c>
      <c r="M43" s="83">
        <v>9</v>
      </c>
    </row>
    <row r="44" spans="1:13" ht="18.75">
      <c r="A44" s="33"/>
      <c r="B44" s="36"/>
      <c r="D44" s="6" t="str">
        <f t="shared" si="0"/>
        <v>South Tyneside</v>
      </c>
      <c r="E44" s="6" t="str">
        <f t="shared" si="1"/>
        <v>Suffolk</v>
      </c>
      <c r="F44" s="78" t="str">
        <f t="shared" si="25"/>
        <v>South Tyneside v. Suffolk</v>
      </c>
      <c r="G44" s="6">
        <f t="shared" si="26"/>
        <v>2</v>
      </c>
      <c r="H44" s="33">
        <v>8</v>
      </c>
      <c r="I44" s="6" t="s">
        <v>47</v>
      </c>
      <c r="J44" s="79">
        <v>9</v>
      </c>
      <c r="L44" s="83">
        <v>6</v>
      </c>
      <c r="M44" s="83">
        <v>11</v>
      </c>
    </row>
    <row r="45" spans="1:13" ht="18.75">
      <c r="A45" s="33"/>
      <c r="B45" s="36"/>
      <c r="D45" s="6" t="str">
        <f t="shared" si="0"/>
        <v>Essex</v>
      </c>
      <c r="E45" s="6" t="str">
        <f t="shared" si="1"/>
        <v>North Tyneside</v>
      </c>
      <c r="F45" s="78" t="str">
        <f t="shared" si="25"/>
        <v>Essex v. North Tyneside</v>
      </c>
      <c r="G45" s="6">
        <f t="shared" si="26"/>
        <v>2</v>
      </c>
      <c r="H45" s="33">
        <v>3</v>
      </c>
      <c r="I45" s="6" t="s">
        <v>47</v>
      </c>
      <c r="J45" s="79">
        <v>6</v>
      </c>
      <c r="L45" s="83">
        <v>9</v>
      </c>
      <c r="M45" s="83">
        <v>6</v>
      </c>
    </row>
    <row r="46" spans="1:13" ht="18.75">
      <c r="A46" s="33"/>
      <c r="B46" s="36"/>
      <c r="D46" s="6" t="str">
        <f t="shared" si="0"/>
        <v>Cambridgeshire</v>
      </c>
      <c r="E46" s="6" t="str">
        <f t="shared" si="1"/>
        <v>Hertfordshire</v>
      </c>
      <c r="F46" s="78" t="str">
        <f t="shared" si="25"/>
        <v>Cambridgeshire v. Hertfordshire</v>
      </c>
      <c r="G46" s="6">
        <f t="shared" si="26"/>
        <v>2</v>
      </c>
      <c r="H46" s="33">
        <v>1</v>
      </c>
      <c r="I46" s="6" t="s">
        <v>47</v>
      </c>
      <c r="J46" s="79">
        <v>4</v>
      </c>
      <c r="L46" s="83">
        <v>9</v>
      </c>
      <c r="M46" s="83">
        <v>7</v>
      </c>
    </row>
    <row r="47" spans="1:13" ht="18.75">
      <c r="A47" s="33"/>
      <c r="B47" s="36"/>
      <c r="D47" s="6" t="str">
        <f t="shared" si="0"/>
        <v>Norfolk</v>
      </c>
      <c r="E47" s="6" t="str">
        <f t="shared" si="1"/>
        <v>Northumberland</v>
      </c>
      <c r="F47" s="80" t="str">
        <f t="shared" si="25"/>
        <v>Norfolk v. Northumberland</v>
      </c>
      <c r="G47" s="47">
        <f t="shared" si="26"/>
        <v>2</v>
      </c>
      <c r="H47" s="81">
        <v>5</v>
      </c>
      <c r="I47" s="47" t="s">
        <v>47</v>
      </c>
      <c r="J47" s="82">
        <v>7</v>
      </c>
      <c r="L47" s="83">
        <v>13</v>
      </c>
      <c r="M47" s="83">
        <v>6</v>
      </c>
    </row>
    <row r="48" spans="4:13" ht="18.75">
      <c r="D48" s="6" t="str">
        <f t="shared" si="0"/>
        <v>Suffolk</v>
      </c>
      <c r="E48" s="6" t="str">
        <f t="shared" si="1"/>
        <v>Sunderland</v>
      </c>
      <c r="F48" s="74" t="str">
        <f t="shared" si="25"/>
        <v>Suffolk v. Sunderland</v>
      </c>
      <c r="G48" s="75">
        <f t="shared" si="26"/>
        <v>2</v>
      </c>
      <c r="H48" s="76">
        <v>9</v>
      </c>
      <c r="I48" s="75" t="s">
        <v>47</v>
      </c>
      <c r="J48" s="77">
        <v>10</v>
      </c>
      <c r="L48" s="83">
        <v>9</v>
      </c>
      <c r="M48" s="83">
        <v>7</v>
      </c>
    </row>
    <row r="49" spans="4:13" ht="18.75">
      <c r="D49" s="6" t="str">
        <f t="shared" si="0"/>
        <v>Cambridgeshire</v>
      </c>
      <c r="E49" s="6" t="str">
        <f t="shared" si="1"/>
        <v>Durham</v>
      </c>
      <c r="F49" s="78" t="str">
        <f t="shared" si="25"/>
        <v>Cambridgeshire v. Durham</v>
      </c>
      <c r="G49" s="6">
        <f t="shared" si="26"/>
        <v>2</v>
      </c>
      <c r="H49" s="33">
        <v>1</v>
      </c>
      <c r="I49" s="6" t="s">
        <v>47</v>
      </c>
      <c r="J49" s="79">
        <v>2</v>
      </c>
      <c r="L49" s="83">
        <v>7</v>
      </c>
      <c r="M49" s="83">
        <v>6</v>
      </c>
    </row>
    <row r="50" spans="4:13" ht="18.75">
      <c r="D50" s="6" t="str">
        <f t="shared" si="0"/>
        <v>Essex</v>
      </c>
      <c r="E50" s="6" t="str">
        <f t="shared" si="1"/>
        <v>Hertfordshire</v>
      </c>
      <c r="F50" s="78" t="str">
        <f t="shared" si="25"/>
        <v>Essex v. Hertfordshire</v>
      </c>
      <c r="G50" s="6">
        <f t="shared" si="26"/>
        <v>2</v>
      </c>
      <c r="H50" s="33">
        <v>3</v>
      </c>
      <c r="I50" s="6" t="s">
        <v>47</v>
      </c>
      <c r="J50" s="79">
        <v>4</v>
      </c>
      <c r="L50" s="83">
        <v>11</v>
      </c>
      <c r="M50" s="83">
        <v>4</v>
      </c>
    </row>
    <row r="51" spans="4:13" ht="18.75">
      <c r="D51" s="6" t="str">
        <f t="shared" si="0"/>
        <v>Norfolk</v>
      </c>
      <c r="E51" s="6" t="str">
        <f t="shared" si="1"/>
        <v>North Tyneside</v>
      </c>
      <c r="F51" s="78" t="str">
        <f t="shared" si="25"/>
        <v>Norfolk v. North Tyneside</v>
      </c>
      <c r="G51" s="6">
        <f t="shared" si="26"/>
        <v>2</v>
      </c>
      <c r="H51" s="33">
        <v>5</v>
      </c>
      <c r="I51" s="6" t="s">
        <v>47</v>
      </c>
      <c r="J51" s="79">
        <v>6</v>
      </c>
      <c r="L51" s="83">
        <v>3</v>
      </c>
      <c r="M51" s="83">
        <v>13</v>
      </c>
    </row>
    <row r="52" spans="4:13" ht="18.75">
      <c r="D52" s="6" t="str">
        <f t="shared" si="0"/>
        <v>Northumberland</v>
      </c>
      <c r="E52" s="6" t="str">
        <f t="shared" si="1"/>
        <v>South Tyneside</v>
      </c>
      <c r="F52" s="80" t="str">
        <f t="shared" si="25"/>
        <v>Northumberland v. South Tyneside</v>
      </c>
      <c r="G52" s="47">
        <f t="shared" si="26"/>
        <v>2</v>
      </c>
      <c r="H52" s="81">
        <v>7</v>
      </c>
      <c r="I52" s="47" t="s">
        <v>47</v>
      </c>
      <c r="J52" s="82">
        <v>8</v>
      </c>
      <c r="L52" s="83">
        <v>8</v>
      </c>
      <c r="M52" s="83">
        <v>8</v>
      </c>
    </row>
    <row r="53" spans="4:6" ht="18.75">
      <c r="D53" s="6"/>
      <c r="E53" s="6"/>
      <c r="F53" s="6"/>
    </row>
  </sheetData>
  <sheetProtection sheet="1" selectLockedCells="1"/>
  <mergeCells count="14">
    <mergeCell ref="CL2:CS4"/>
    <mergeCell ref="F3:M3"/>
    <mergeCell ref="AY6:AZ6"/>
    <mergeCell ref="BD6:BG6"/>
    <mergeCell ref="CL6:CS6"/>
    <mergeCell ref="AA6:AC6"/>
    <mergeCell ref="A2:B4"/>
    <mergeCell ref="F2:M2"/>
    <mergeCell ref="S6:U6"/>
    <mergeCell ref="W6:Y6"/>
    <mergeCell ref="L7:M7"/>
    <mergeCell ref="O6:Q6"/>
    <mergeCell ref="A6:B6"/>
    <mergeCell ref="F6:M6"/>
  </mergeCells>
  <conditionalFormatting sqref="CK21:CP22">
    <cfRule type="expression" priority="11" dxfId="3" stopIfTrue="1">
      <formula>IF($CL21:$CL63=0,1,0)</formula>
    </cfRule>
  </conditionalFormatting>
  <conditionalFormatting sqref="CU21:CU22">
    <cfRule type="expression" priority="10" dxfId="3" stopIfTrue="1">
      <formula>IF($CU21:$CU63=0,1,0)</formula>
    </cfRule>
  </conditionalFormatting>
  <conditionalFormatting sqref="CU8:CU17">
    <cfRule type="expression" priority="9" dxfId="3" stopIfTrue="1">
      <formula>IF($CU8:$CU17=0,1,0)</formula>
    </cfRule>
  </conditionalFormatting>
  <conditionalFormatting sqref="L8:M52">
    <cfRule type="expression" priority="8" dxfId="2" stopIfTrue="1">
      <formula>IF($E8:$E52=blankcell,1,0)</formula>
    </cfRule>
  </conditionalFormatting>
  <conditionalFormatting sqref="CK8:CP12 CK13:CK18">
    <cfRule type="expression" priority="7" dxfId="3" stopIfTrue="1">
      <formula>IF($CL8:$CL17=0,1,0)</formula>
    </cfRule>
  </conditionalFormatting>
  <conditionalFormatting sqref="CK19:CP20">
    <cfRule type="expression" priority="6" dxfId="3" stopIfTrue="1">
      <formula>IF($CL19:$CL62=0,1,0)</formula>
    </cfRule>
  </conditionalFormatting>
  <conditionalFormatting sqref="CU19:CU20">
    <cfRule type="expression" priority="5" dxfId="3" stopIfTrue="1">
      <formula>IF($CU19:$CU62=0,1,0)</formula>
    </cfRule>
  </conditionalFormatting>
  <conditionalFormatting sqref="H8:J52">
    <cfRule type="expression" priority="4" dxfId="3" stopIfTrue="1">
      <formula>$G8:$G22=1</formula>
    </cfRule>
  </conditionalFormatting>
  <conditionalFormatting sqref="F7:F53 F5 F2:F3">
    <cfRule type="containsText" priority="3" dxfId="3" operator="containsText" stopIfTrue="1" text="0">
      <formula>NOT(ISERROR(SEARCH("0",F2)))</formula>
    </cfRule>
  </conditionalFormatting>
  <conditionalFormatting sqref="B8:B17">
    <cfRule type="containsText" priority="2" dxfId="2" operator="containsText" stopIfTrue="1" text="0">
      <formula>NOT(ISERROR(SEARCH("0",B8)))</formula>
    </cfRule>
  </conditionalFormatting>
  <conditionalFormatting sqref="CS8:CS22">
    <cfRule type="duplicateValues" priority="1" dxfId="1" stopIfTrue="1">
      <formula>AND(COUNTIF($CS$8:$CS$22,CS8)&gt;1,NOT(ISBLANK(CS8)))</formula>
    </cfRule>
  </conditionalFormatting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53"/>
  <sheetViews>
    <sheetView zoomScalePageLayoutView="0" workbookViewId="0" topLeftCell="CL1">
      <selection activeCell="M52" sqref="M52"/>
    </sheetView>
  </sheetViews>
  <sheetFormatPr defaultColWidth="9.140625" defaultRowHeight="15"/>
  <cols>
    <col min="1" max="1" width="5.7109375" style="1" customWidth="1"/>
    <col min="2" max="2" width="20.7109375" style="1" customWidth="1"/>
    <col min="3" max="3" width="2.7109375" style="1" customWidth="1"/>
    <col min="4" max="4" width="18.00390625" style="1" hidden="1" customWidth="1"/>
    <col min="5" max="5" width="17.28125" style="1" hidden="1" customWidth="1"/>
    <col min="6" max="6" width="40.7109375" style="1" customWidth="1"/>
    <col min="7" max="7" width="2.8515625" style="1" hidden="1" customWidth="1"/>
    <col min="8" max="8" width="4.7109375" style="2" customWidth="1"/>
    <col min="9" max="9" width="2.7109375" style="2" customWidth="1"/>
    <col min="10" max="10" width="4.7109375" style="2" customWidth="1"/>
    <col min="11" max="11" width="2.7109375" style="1" customWidth="1"/>
    <col min="12" max="13" width="5.7109375" style="1" customWidth="1"/>
    <col min="14" max="14" width="2.7109375" style="1" customWidth="1"/>
    <col min="15" max="15" width="2.8515625" style="1" hidden="1" customWidth="1"/>
    <col min="16" max="17" width="4.421875" style="1" hidden="1" customWidth="1"/>
    <col min="18" max="18" width="2.8515625" style="1" hidden="1" customWidth="1"/>
    <col min="19" max="19" width="4.421875" style="1" hidden="1" customWidth="1"/>
    <col min="20" max="21" width="2.8515625" style="1" hidden="1" customWidth="1"/>
    <col min="22" max="23" width="4.421875" style="1" hidden="1" customWidth="1"/>
    <col min="24" max="25" width="2.8515625" style="1" hidden="1" customWidth="1"/>
    <col min="26" max="27" width="4.421875" style="1" hidden="1" customWidth="1"/>
    <col min="28" max="29" width="2.8515625" style="1" hidden="1" customWidth="1"/>
    <col min="30" max="31" width="4.421875" style="1" hidden="1" customWidth="1"/>
    <col min="32" max="33" width="2.8515625" style="1" hidden="1" customWidth="1"/>
    <col min="34" max="35" width="4.421875" style="1" hidden="1" customWidth="1"/>
    <col min="36" max="37" width="2.8515625" style="1" hidden="1" customWidth="1"/>
    <col min="38" max="38" width="4.421875" style="1" hidden="1" customWidth="1"/>
    <col min="39" max="39" width="2.8515625" style="1" hidden="1" customWidth="1"/>
    <col min="40" max="41" width="4.421875" style="1" hidden="1" customWidth="1"/>
    <col min="42" max="43" width="2.8515625" style="1" hidden="1" customWidth="1"/>
    <col min="44" max="45" width="4.421875" style="1" hidden="1" customWidth="1"/>
    <col min="46" max="46" width="2.8515625" style="1" hidden="1" customWidth="1"/>
    <col min="47" max="47" width="4.421875" style="1" hidden="1" customWidth="1"/>
    <col min="48" max="49" width="2.8515625" style="1" hidden="1" customWidth="1"/>
    <col min="50" max="50" width="4.421875" style="1" hidden="1" customWidth="1"/>
    <col min="51" max="51" width="5.8515625" style="1" hidden="1" customWidth="1"/>
    <col min="52" max="52" width="11.28125" style="1" hidden="1" customWidth="1"/>
    <col min="53" max="55" width="2.7109375" style="1" hidden="1" customWidth="1"/>
    <col min="56" max="64" width="11.28125" style="1" hidden="1" customWidth="1"/>
    <col min="65" max="65" width="8.00390625" style="1" hidden="1" customWidth="1"/>
    <col min="66" max="67" width="2.7109375" style="1" hidden="1" customWidth="1"/>
    <col min="68" max="76" width="11.28125" style="1" hidden="1" customWidth="1"/>
    <col min="77" max="77" width="2.7109375" style="1" hidden="1" customWidth="1"/>
    <col min="78" max="78" width="2.8515625" style="1" hidden="1" customWidth="1"/>
    <col min="79" max="79" width="15.57421875" style="1" hidden="1" customWidth="1"/>
    <col min="80" max="80" width="4.421875" style="1" hidden="1" customWidth="1"/>
    <col min="81" max="81" width="18.00390625" style="1" hidden="1" customWidth="1"/>
    <col min="82" max="82" width="5.57421875" style="1" hidden="1" customWidth="1"/>
    <col min="83" max="84" width="4.421875" style="1" hidden="1" customWidth="1"/>
    <col min="85" max="85" width="3.28125" style="1" hidden="1" customWidth="1"/>
    <col min="86" max="86" width="4.421875" style="1" hidden="1" customWidth="1"/>
    <col min="87" max="87" width="5.57421875" style="1" hidden="1" customWidth="1"/>
    <col min="88" max="88" width="4.421875" style="1" hidden="1" customWidth="1"/>
    <col min="89" max="89" width="4.8515625" style="1" hidden="1" customWidth="1"/>
    <col min="90" max="90" width="20.7109375" style="1" customWidth="1"/>
    <col min="91" max="94" width="5.7109375" style="1" customWidth="1"/>
    <col min="95" max="95" width="2.7109375" style="1" customWidth="1"/>
    <col min="96" max="96" width="15.57421875" style="1" hidden="1" customWidth="1"/>
    <col min="97" max="97" width="7.7109375" style="1" customWidth="1"/>
    <col min="98" max="98" width="9.140625" style="1" customWidth="1"/>
    <col min="99" max="99" width="18.00390625" style="1" bestFit="1" customWidth="1"/>
    <col min="100" max="100" width="5.28125" style="1" bestFit="1" customWidth="1"/>
    <col min="101" max="101" width="7.8515625" style="1" bestFit="1" customWidth="1"/>
    <col min="102" max="102" width="5.28125" style="1" bestFit="1" customWidth="1"/>
    <col min="103" max="103" width="8.140625" style="1" bestFit="1" customWidth="1"/>
    <col min="104" max="104" width="5.28125" style="1" bestFit="1" customWidth="1"/>
    <col min="105" max="16384" width="9.140625" style="1" customWidth="1"/>
  </cols>
  <sheetData>
    <row r="1" spans="4:96" ht="18.75">
      <c r="D1" s="1" t="s">
        <v>0</v>
      </c>
      <c r="E1" s="1" t="s">
        <v>0</v>
      </c>
      <c r="G1" s="1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  <c r="Y1" s="3" t="s">
        <v>0</v>
      </c>
      <c r="Z1" s="3" t="s">
        <v>0</v>
      </c>
      <c r="AA1" s="3" t="s">
        <v>0</v>
      </c>
      <c r="AB1" s="3" t="s">
        <v>0</v>
      </c>
      <c r="AC1" s="3" t="s">
        <v>0</v>
      </c>
      <c r="AD1" s="3" t="s">
        <v>0</v>
      </c>
      <c r="AE1" s="3" t="s">
        <v>0</v>
      </c>
      <c r="AF1" s="3" t="s">
        <v>0</v>
      </c>
      <c r="AG1" s="3" t="s">
        <v>0</v>
      </c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 t="s">
        <v>0</v>
      </c>
      <c r="AQ1" s="3" t="s">
        <v>0</v>
      </c>
      <c r="AR1" s="3" t="s">
        <v>0</v>
      </c>
      <c r="AS1" s="3" t="s">
        <v>0</v>
      </c>
      <c r="AT1" s="3" t="s">
        <v>0</v>
      </c>
      <c r="AU1" s="3" t="s">
        <v>0</v>
      </c>
      <c r="AV1" s="3" t="s">
        <v>0</v>
      </c>
      <c r="AW1" s="3" t="s">
        <v>0</v>
      </c>
      <c r="AX1" s="3" t="s">
        <v>0</v>
      </c>
      <c r="AY1" s="3" t="s">
        <v>0</v>
      </c>
      <c r="AZ1" s="3" t="s">
        <v>0</v>
      </c>
      <c r="BA1" s="3" t="s">
        <v>0</v>
      </c>
      <c r="BB1" s="3" t="s">
        <v>0</v>
      </c>
      <c r="BC1" s="3" t="s">
        <v>0</v>
      </c>
      <c r="BD1" s="3" t="s">
        <v>0</v>
      </c>
      <c r="BE1" s="3" t="s">
        <v>0</v>
      </c>
      <c r="BF1" s="3" t="s">
        <v>0</v>
      </c>
      <c r="BG1" s="3" t="s">
        <v>0</v>
      </c>
      <c r="BH1" s="3" t="s">
        <v>0</v>
      </c>
      <c r="BI1" s="3" t="s">
        <v>0</v>
      </c>
      <c r="BJ1" s="3" t="s">
        <v>0</v>
      </c>
      <c r="BK1" s="3" t="s">
        <v>0</v>
      </c>
      <c r="BL1" s="3" t="s">
        <v>0</v>
      </c>
      <c r="BM1" s="3" t="s">
        <v>0</v>
      </c>
      <c r="BN1" s="4" t="s">
        <v>0</v>
      </c>
      <c r="BO1" s="4" t="s">
        <v>0</v>
      </c>
      <c r="BP1" s="4" t="s">
        <v>0</v>
      </c>
      <c r="BQ1" s="4" t="s">
        <v>0</v>
      </c>
      <c r="BR1" s="4" t="s">
        <v>0</v>
      </c>
      <c r="BS1" s="4" t="s">
        <v>0</v>
      </c>
      <c r="BT1" s="4" t="s">
        <v>0</v>
      </c>
      <c r="BU1" s="4" t="s">
        <v>0</v>
      </c>
      <c r="BV1" s="4" t="s">
        <v>0</v>
      </c>
      <c r="BW1" s="4" t="s">
        <v>0</v>
      </c>
      <c r="BX1" s="4" t="s">
        <v>0</v>
      </c>
      <c r="BY1" s="4" t="s">
        <v>0</v>
      </c>
      <c r="BZ1" s="4" t="s">
        <v>0</v>
      </c>
      <c r="CA1" s="4" t="s">
        <v>0</v>
      </c>
      <c r="CB1" s="4" t="s">
        <v>0</v>
      </c>
      <c r="CC1" s="4" t="s">
        <v>0</v>
      </c>
      <c r="CD1" s="4" t="s">
        <v>0</v>
      </c>
      <c r="CE1" s="4" t="s">
        <v>0</v>
      </c>
      <c r="CF1" s="4" t="s">
        <v>0</v>
      </c>
      <c r="CG1" s="4" t="s">
        <v>0</v>
      </c>
      <c r="CH1" s="4" t="s">
        <v>0</v>
      </c>
      <c r="CI1" s="4" t="s">
        <v>0</v>
      </c>
      <c r="CJ1" s="4" t="s">
        <v>0</v>
      </c>
      <c r="CK1" s="5" t="s">
        <v>0</v>
      </c>
      <c r="CR1" s="1" t="s">
        <v>0</v>
      </c>
    </row>
    <row r="2" spans="1:104" s="4" customFormat="1" ht="18.75">
      <c r="A2" s="108" t="s">
        <v>57</v>
      </c>
      <c r="B2" s="131"/>
      <c r="F2" s="119" t="s">
        <v>2</v>
      </c>
      <c r="G2" s="120"/>
      <c r="H2" s="120"/>
      <c r="I2" s="120"/>
      <c r="J2" s="120"/>
      <c r="K2" s="120"/>
      <c r="L2" s="120"/>
      <c r="M2" s="120"/>
      <c r="CL2" s="130" t="str">
        <f>singles!CL2</f>
        <v>Saturday 11th and  Sunday 12th June 2011 at The Norbreck Castle Hotel, Blackpool</v>
      </c>
      <c r="CM2" s="107"/>
      <c r="CN2" s="107"/>
      <c r="CO2" s="107"/>
      <c r="CP2" s="107"/>
      <c r="CQ2" s="107"/>
      <c r="CR2" s="107"/>
      <c r="CS2" s="107"/>
      <c r="CV2" s="4" t="s">
        <v>3</v>
      </c>
      <c r="CX2" s="4" t="s">
        <v>3</v>
      </c>
      <c r="CZ2" s="4" t="s">
        <v>3</v>
      </c>
    </row>
    <row r="3" spans="1:97" s="4" customFormat="1" ht="18.75">
      <c r="A3" s="108"/>
      <c r="B3" s="131"/>
      <c r="F3" s="119" t="s">
        <v>4</v>
      </c>
      <c r="G3" s="120"/>
      <c r="H3" s="120"/>
      <c r="I3" s="120"/>
      <c r="J3" s="120"/>
      <c r="K3" s="120"/>
      <c r="L3" s="120"/>
      <c r="M3" s="120"/>
      <c r="CL3" s="130"/>
      <c r="CM3" s="107"/>
      <c r="CN3" s="107"/>
      <c r="CO3" s="107"/>
      <c r="CP3" s="107"/>
      <c r="CQ3" s="107"/>
      <c r="CR3" s="107"/>
      <c r="CS3" s="107"/>
    </row>
    <row r="4" spans="1:104" s="4" customFormat="1" ht="18">
      <c r="A4" s="131"/>
      <c r="B4" s="13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Z4" s="6"/>
      <c r="CK4" s="5"/>
      <c r="CL4" s="107"/>
      <c r="CM4" s="107"/>
      <c r="CN4" s="107"/>
      <c r="CO4" s="107"/>
      <c r="CP4" s="107"/>
      <c r="CQ4" s="107"/>
      <c r="CR4" s="107"/>
      <c r="CS4" s="107"/>
      <c r="CU4" s="7" t="s">
        <v>5</v>
      </c>
      <c r="CV4" s="7">
        <v>2</v>
      </c>
      <c r="CW4" s="7" t="s">
        <v>6</v>
      </c>
      <c r="CX4" s="7">
        <v>0</v>
      </c>
      <c r="CY4" s="7" t="s">
        <v>7</v>
      </c>
      <c r="CZ4" s="7">
        <v>1</v>
      </c>
    </row>
    <row r="5" spans="1:104" s="10" customFormat="1" ht="19.5" thickBot="1">
      <c r="A5" s="8"/>
      <c r="B5" s="9"/>
      <c r="F5" s="11"/>
      <c r="H5" s="12"/>
      <c r="I5" s="12"/>
      <c r="J5" s="1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Z5" s="12"/>
      <c r="CK5" s="13"/>
      <c r="CL5" s="14"/>
      <c r="CM5" s="15"/>
      <c r="CN5" s="15"/>
      <c r="CO5" s="15"/>
      <c r="CP5" s="15"/>
      <c r="CQ5" s="15"/>
      <c r="CR5" s="15"/>
      <c r="CS5" s="15"/>
      <c r="CU5" s="16"/>
      <c r="CV5" s="16"/>
      <c r="CW5" s="16"/>
      <c r="CX5" s="16"/>
      <c r="CY5" s="16"/>
      <c r="CZ5" s="16"/>
    </row>
    <row r="6" spans="1:97" s="17" customFormat="1" ht="19.5" thickBot="1">
      <c r="A6" s="112" t="s">
        <v>8</v>
      </c>
      <c r="B6" s="113"/>
      <c r="F6" s="114" t="s">
        <v>9</v>
      </c>
      <c r="G6" s="115"/>
      <c r="H6" s="115"/>
      <c r="I6" s="115"/>
      <c r="J6" s="115"/>
      <c r="K6" s="115"/>
      <c r="L6" s="115"/>
      <c r="M6" s="116"/>
      <c r="O6" s="110"/>
      <c r="P6" s="110"/>
      <c r="Q6" s="111"/>
      <c r="R6" s="18"/>
      <c r="S6" s="110"/>
      <c r="T6" s="110"/>
      <c r="U6" s="111"/>
      <c r="V6" s="18"/>
      <c r="W6" s="110"/>
      <c r="X6" s="110"/>
      <c r="Y6" s="111"/>
      <c r="Z6" s="18"/>
      <c r="AA6" s="110"/>
      <c r="AB6" s="110"/>
      <c r="AC6" s="111"/>
      <c r="AD6" s="18"/>
      <c r="AY6" s="123" t="s">
        <v>10</v>
      </c>
      <c r="AZ6" s="123"/>
      <c r="BD6" s="123" t="s">
        <v>11</v>
      </c>
      <c r="BE6" s="123"/>
      <c r="BF6" s="123"/>
      <c r="BG6" s="124"/>
      <c r="BH6" s="19"/>
      <c r="BI6" s="19"/>
      <c r="BJ6" s="19"/>
      <c r="BK6" s="19"/>
      <c r="BL6" s="19"/>
      <c r="BM6" s="20"/>
      <c r="BN6" s="19"/>
      <c r="BO6" s="19"/>
      <c r="BP6" s="21" t="s">
        <v>10</v>
      </c>
      <c r="BQ6" s="22"/>
      <c r="BR6" s="22"/>
      <c r="BS6" s="23"/>
      <c r="BT6" s="23"/>
      <c r="BU6" s="23"/>
      <c r="BV6" s="23"/>
      <c r="BW6" s="23"/>
      <c r="BX6" s="23"/>
      <c r="BY6" s="23"/>
      <c r="CK6" s="24"/>
      <c r="CL6" s="125" t="s">
        <v>12</v>
      </c>
      <c r="CM6" s="126"/>
      <c r="CN6" s="126"/>
      <c r="CO6" s="126"/>
      <c r="CP6" s="126"/>
      <c r="CQ6" s="126"/>
      <c r="CR6" s="126"/>
      <c r="CS6" s="127"/>
    </row>
    <row r="7" spans="1:100" s="17" customFormat="1" ht="18.75" thickBot="1">
      <c r="A7" s="25" t="s">
        <v>13</v>
      </c>
      <c r="B7" s="26" t="s">
        <v>14</v>
      </c>
      <c r="D7" s="17" t="s">
        <v>15</v>
      </c>
      <c r="E7" s="17" t="s">
        <v>16</v>
      </c>
      <c r="F7" s="27"/>
      <c r="L7" s="109" t="s">
        <v>17</v>
      </c>
      <c r="M7" s="109"/>
      <c r="O7" s="28" t="s">
        <v>18</v>
      </c>
      <c r="P7" s="28"/>
      <c r="Q7" s="28"/>
      <c r="R7" s="28"/>
      <c r="S7" s="28" t="s">
        <v>19</v>
      </c>
      <c r="T7" s="28"/>
      <c r="U7" s="28"/>
      <c r="V7" s="28"/>
      <c r="W7" s="28" t="s">
        <v>20</v>
      </c>
      <c r="X7" s="28"/>
      <c r="Y7" s="28"/>
      <c r="Z7" s="28"/>
      <c r="AA7" s="28" t="s">
        <v>21</v>
      </c>
      <c r="AB7" s="28"/>
      <c r="AC7" s="28"/>
      <c r="AD7" s="28"/>
      <c r="AE7" s="28" t="s">
        <v>22</v>
      </c>
      <c r="AF7" s="28"/>
      <c r="AG7" s="28"/>
      <c r="AH7" s="28"/>
      <c r="AI7" s="28" t="s">
        <v>23</v>
      </c>
      <c r="AJ7" s="28"/>
      <c r="AK7" s="28"/>
      <c r="AL7" s="28"/>
      <c r="AM7" s="28" t="s">
        <v>24</v>
      </c>
      <c r="AN7" s="28"/>
      <c r="AO7" s="28"/>
      <c r="AP7" s="28"/>
      <c r="AQ7" s="28" t="s">
        <v>25</v>
      </c>
      <c r="AR7" s="28"/>
      <c r="AS7" s="28"/>
      <c r="AT7" s="28"/>
      <c r="AU7" s="28" t="s">
        <v>26</v>
      </c>
      <c r="AV7" s="28"/>
      <c r="AW7" s="28"/>
      <c r="AY7" s="17" t="s">
        <v>27</v>
      </c>
      <c r="AZ7" s="17" t="s">
        <v>28</v>
      </c>
      <c r="BD7" s="17" t="s">
        <v>29</v>
      </c>
      <c r="BE7" s="17" t="s">
        <v>30</v>
      </c>
      <c r="BF7" s="17" t="s">
        <v>31</v>
      </c>
      <c r="BG7" s="17" t="s">
        <v>32</v>
      </c>
      <c r="BH7" s="17" t="s">
        <v>33</v>
      </c>
      <c r="BI7" s="17" t="s">
        <v>34</v>
      </c>
      <c r="BJ7" s="17" t="s">
        <v>35</v>
      </c>
      <c r="BK7" s="17" t="s">
        <v>36</v>
      </c>
      <c r="BL7" s="17" t="s">
        <v>37</v>
      </c>
      <c r="BM7" s="20" t="s">
        <v>38</v>
      </c>
      <c r="BP7" s="17" t="s">
        <v>29</v>
      </c>
      <c r="BQ7" s="17" t="s">
        <v>30</v>
      </c>
      <c r="BR7" s="17" t="s">
        <v>31</v>
      </c>
      <c r="BS7" s="17" t="s">
        <v>32</v>
      </c>
      <c r="BT7" s="17" t="s">
        <v>33</v>
      </c>
      <c r="BU7" s="17" t="s">
        <v>34</v>
      </c>
      <c r="BV7" s="17" t="s">
        <v>35</v>
      </c>
      <c r="BW7" s="17" t="s">
        <v>36</v>
      </c>
      <c r="BX7" s="17" t="s">
        <v>37</v>
      </c>
      <c r="CD7" s="17" t="s">
        <v>3</v>
      </c>
      <c r="CE7" s="17" t="s">
        <v>39</v>
      </c>
      <c r="CF7" s="17" t="s">
        <v>40</v>
      </c>
      <c r="CG7" s="17" t="s">
        <v>41</v>
      </c>
      <c r="CI7" s="17" t="s">
        <v>42</v>
      </c>
      <c r="CK7" s="24" t="s">
        <v>43</v>
      </c>
      <c r="CL7" s="29"/>
      <c r="CM7" s="17" t="s">
        <v>42</v>
      </c>
      <c r="CN7" s="17" t="s">
        <v>3</v>
      </c>
      <c r="CO7" s="17" t="s">
        <v>27</v>
      </c>
      <c r="CP7" s="17" t="s">
        <v>44</v>
      </c>
      <c r="CS7" s="30" t="s">
        <v>45</v>
      </c>
      <c r="CU7" s="100" t="s">
        <v>46</v>
      </c>
      <c r="CV7" s="101"/>
    </row>
    <row r="8" spans="1:100" s="6" customFormat="1" ht="18.75">
      <c r="A8" s="31">
        <v>1</v>
      </c>
      <c r="B8" s="32" t="s">
        <v>74</v>
      </c>
      <c r="D8" s="6" t="str">
        <f aca="true" t="shared" si="0" ref="D8:D52">LOOKUP(H8,ssnums,ssteams)</f>
        <v>Durham</v>
      </c>
      <c r="E8" s="6" t="str">
        <f aca="true" t="shared" si="1" ref="E8:E52">LOOKUP(J8,ssnums,ssteams)</f>
        <v>Suffolk</v>
      </c>
      <c r="F8" s="74" t="str">
        <f>CONCATENATE(D8," v. ",E8)</f>
        <v>Durham v. Suffolk</v>
      </c>
      <c r="G8" s="75">
        <f>IF(ISNUMBER(SEARCH("0",F8)),1,2)</f>
        <v>2</v>
      </c>
      <c r="H8" s="76">
        <v>2</v>
      </c>
      <c r="I8" s="75" t="s">
        <v>47</v>
      </c>
      <c r="J8" s="77">
        <v>9</v>
      </c>
      <c r="K8" s="33"/>
      <c r="L8" s="83">
        <v>7</v>
      </c>
      <c r="M8" s="83">
        <v>6</v>
      </c>
      <c r="N8" s="34"/>
      <c r="O8" s="35">
        <f>SUMIF(ssg1.1,teama1,ssr1.1)</f>
        <v>9</v>
      </c>
      <c r="P8" s="35">
        <f>SUMIF(ssg1.2,teama1,ssr1.2)</f>
        <v>0</v>
      </c>
      <c r="Q8" s="35">
        <f>SUMIF(ssg1.1,teama1,ssr1.2)</f>
        <v>6</v>
      </c>
      <c r="R8" s="35">
        <f>SUMIF(ssg1.2,teama1,ssr1.1)</f>
        <v>0</v>
      </c>
      <c r="S8" s="35">
        <f>SUMIF(ssg2.1,teama1,ssr2.1)</f>
        <v>0</v>
      </c>
      <c r="T8" s="35">
        <f>SUMIF(ssg2.2,teama1,ssr2.2)</f>
        <v>10</v>
      </c>
      <c r="U8" s="35">
        <f>SUMIF(ssg2.1,teama1,ssr2.2)</f>
        <v>0</v>
      </c>
      <c r="V8" s="35">
        <f>SUMIF(ssg2.2,teama1,ssr2.1)</f>
        <v>5</v>
      </c>
      <c r="W8" s="35">
        <f>SUMIF(ssg3.1,teama1,ssr3.1)</f>
        <v>8</v>
      </c>
      <c r="X8" s="35">
        <f>SUMIF(ssg3.2,teama1,ssr3.2)</f>
        <v>0</v>
      </c>
      <c r="Y8" s="35">
        <f>SUMIF(ssg3.1,teama1,ssr3.2)</f>
        <v>8</v>
      </c>
      <c r="Z8" s="35">
        <f>SUMIF(ssg3.2,teama1,ssr3.1)</f>
        <v>0</v>
      </c>
      <c r="AA8" s="35">
        <f>SUMIF(ssg4.1,teama1,ssr4.1)</f>
        <v>0</v>
      </c>
      <c r="AB8" s="35">
        <f>SUMIF(ssg4.2,teama1,ssr4.2)</f>
        <v>12</v>
      </c>
      <c r="AC8" s="35">
        <f>SUMIF(ssg4.1,teama1,ssr4.2)</f>
        <v>0</v>
      </c>
      <c r="AD8" s="35">
        <f>SUMIF(ssg4.2,teama1,ssr4.1)</f>
        <v>6</v>
      </c>
      <c r="AE8" s="35">
        <f>SUMIF(ssg5.1,teama1,ssr5.1)</f>
        <v>0</v>
      </c>
      <c r="AF8" s="35">
        <f>SUMIF(ssg5.2,teama1,ssr5.2)</f>
        <v>13</v>
      </c>
      <c r="AG8" s="35">
        <f>SUMIF(ssg5.1,teama1,ssr5.2)</f>
        <v>0</v>
      </c>
      <c r="AH8" s="35">
        <f>SUMIF(ssg5.2,teama1,ssr5.1)</f>
        <v>2</v>
      </c>
      <c r="AI8" s="35">
        <f>SUMIF(ssg6.1,teama1,ssr6.1)</f>
        <v>0</v>
      </c>
      <c r="AJ8" s="35">
        <f>SUMIF(ssg6.2,teama1,ssr6.2)</f>
        <v>9</v>
      </c>
      <c r="AK8" s="35">
        <f>SUMIF(ssg6.1,teama1,ssr6.2)</f>
        <v>0</v>
      </c>
      <c r="AL8" s="35">
        <f>SUMIF(ssg6.2,teama1,ssr6.1)</f>
        <v>4</v>
      </c>
      <c r="AM8" s="35">
        <f>SUMIF(ssg7.1,teama1,ssr7.1)</f>
        <v>10</v>
      </c>
      <c r="AN8" s="35">
        <f>SUMIF(ssg7.2,teama1,ssr7.2)</f>
        <v>0</v>
      </c>
      <c r="AO8" s="35">
        <f>SUMIF(ssg7.1,teama1,ssr7.2)</f>
        <v>5</v>
      </c>
      <c r="AP8" s="35">
        <f>SUMIF(ssg7.2,teama1,ssr7.1)</f>
        <v>0</v>
      </c>
      <c r="AQ8" s="35">
        <f>SUMIF(ssg8.1,teama1,ssr8.1)</f>
        <v>7</v>
      </c>
      <c r="AR8" s="35">
        <f>SUMIF(ssg8.2,teama1,ssr8.2)</f>
        <v>0</v>
      </c>
      <c r="AS8" s="35">
        <f>SUMIF(ssg8.1,teama1,ssr8.2)</f>
        <v>6</v>
      </c>
      <c r="AT8" s="35">
        <f>SUMIF(ssg8.2,teama1,ssr8.1)</f>
        <v>0</v>
      </c>
      <c r="AU8" s="35">
        <f>SUMIF(ssg9.1,teama1,ssr9.1)</f>
        <v>13</v>
      </c>
      <c r="AV8" s="35">
        <f>SUMIF(ssg9.2,teama1,ssr9.2)</f>
        <v>0</v>
      </c>
      <c r="AW8" s="35">
        <f>SUMIF(ssg9.1,teama1,ssr9.2)</f>
        <v>4</v>
      </c>
      <c r="AX8" s="35">
        <f>SUMIF(ssg9.2,teama1,ssr9.1)</f>
        <v>0</v>
      </c>
      <c r="AY8" s="33">
        <f>O8+P8+S8+T8+W8+X8+AA8+AB8+AE8+AF8+AI8+AJ8+AM8+AN8+AQ8+AR8+AU8+AV8</f>
        <v>91</v>
      </c>
      <c r="AZ8" s="33">
        <f>Q8+R8+U8+V8+Y8+Z8+AC8+AD8+AG8+AH8+AK8+AL8+AO8+AP8+AS8+AT8+AW8+AX8</f>
        <v>46</v>
      </c>
      <c r="BD8" s="6">
        <f aca="true" t="shared" si="2" ref="BD8:BD17">IF(O8+P8=0,pointsforlose,IF(O8+P8=Q8+R8,pointsfordraw,IF(O8+P8&gt;Q8+R8,pointsforwin,pointsforlose)))</f>
        <v>2</v>
      </c>
      <c r="BE8" s="6">
        <f aca="true" t="shared" si="3" ref="BE8:BE17">IF(S8+T8=0,pointsforlose,IF(S8+T8=U8+V8,pointsfordraw,IF(S8+T8&gt;U8+V8,pointsforwin,pointsforlose)))</f>
        <v>2</v>
      </c>
      <c r="BF8" s="6">
        <f aca="true" t="shared" si="4" ref="BF8:BF17">IF(W8+X8=0,pointsforlose,IF(W8+X8=Y8+Z8,pointsfordraw,IF(W8+X8&gt;Y8+Z8,pointsforwin,pointsforlose)))</f>
        <v>1</v>
      </c>
      <c r="BG8" s="6">
        <f aca="true" t="shared" si="5" ref="BG8:BG17">IF(AA8+AB8=0,pointsforlose,IF(AA8+AB8=AC8+AD8,pointsfordraw,IF(AA8+AB8&gt;AC8+AD8,pointsforwin,pointsforlose)))</f>
        <v>2</v>
      </c>
      <c r="BH8" s="6">
        <f aca="true" t="shared" si="6" ref="BH8:BH17">IF(AE8+AF8=0,pointsforlose,IF(AE8+AF8=AG8+AH8,pointsfordraw,IF(AE8+AF8&gt;AG8+AH8,pointsforwin,pointsforlose)))</f>
        <v>2</v>
      </c>
      <c r="BI8" s="6">
        <f aca="true" t="shared" si="7" ref="BI8:BI17">IF(AI8+AJ8=0,pointsforlose,IF(AI8+AJ8=AK8+AL8,pointsfordraw,IF(AI8+AJ8&gt;AK8+AL8,pointsforwin,pointsforlose)))</f>
        <v>2</v>
      </c>
      <c r="BJ8" s="6">
        <f aca="true" t="shared" si="8" ref="BJ8:BJ17">IF(AM8+AN8=0,pointsforlose,IF(AM8+AN8=AO8+AP8,pointsfordraw,IF(AM8+AN8&gt;AO8+AP8,pointsforwin,pointsforlose)))</f>
        <v>2</v>
      </c>
      <c r="BK8" s="6">
        <f aca="true" t="shared" si="9" ref="BK8:BK17">IF(AQ8+AR8=0,pointsforlose,IF(AQ8+AR8=AS8+AT8,pointsfordraw,IF(AQ8+AR8&gt;AS8+AT8,pointsforwin,pointsforlose)))</f>
        <v>2</v>
      </c>
      <c r="BL8" s="6">
        <f aca="true" t="shared" si="10" ref="BL8:BL17">IF(AU8+AV8=0,pointsforlose,IF(AU8+AV8=AW8+AX8,pointsfordraw,IF(AU8+AV8&gt;AW8+AX8,pointsforwin,pointsforlose)))</f>
        <v>2</v>
      </c>
      <c r="BM8" s="33">
        <f>SUM(BD8:BL8)</f>
        <v>17</v>
      </c>
      <c r="BP8" s="33">
        <f>SUM(O8:R8)</f>
        <v>15</v>
      </c>
      <c r="BQ8" s="33">
        <f>SUM(S8:V8)</f>
        <v>15</v>
      </c>
      <c r="BR8" s="33">
        <f>SUM(W8:Z8)</f>
        <v>16</v>
      </c>
      <c r="BS8" s="33">
        <f>SUM(AA8:AD8)</f>
        <v>18</v>
      </c>
      <c r="BT8" s="33">
        <f>SUM(AE8:AH8)</f>
        <v>15</v>
      </c>
      <c r="BU8" s="33">
        <f>SUM(AI8:AL8)</f>
        <v>13</v>
      </c>
      <c r="BV8" s="33">
        <f>SUM(AM8:AP8)</f>
        <v>15</v>
      </c>
      <c r="BW8" s="33">
        <f>SUM(AQ8:AT8)</f>
        <v>13</v>
      </c>
      <c r="BX8" s="33">
        <f>SUM(AU8:AX8)</f>
        <v>17</v>
      </c>
      <c r="BY8" s="33"/>
      <c r="BZ8" s="33">
        <f aca="true" t="shared" si="11" ref="BZ8:BZ16">COUNTIF(BP8:BX8,"&gt;0")</f>
        <v>9</v>
      </c>
      <c r="CA8" s="6">
        <f aca="true" t="shared" si="12" ref="CA8:CA17">((((BM8*1000000)+(AY8*1000)+(AZ8-100)*-1)+CV8)*10)+CJ8</f>
        <v>170910541</v>
      </c>
      <c r="CB8" s="6">
        <f aca="true" t="shared" si="13" ref="CB8:CB17">RANK(CA8,g01tots1)</f>
        <v>1</v>
      </c>
      <c r="CC8" s="6" t="str">
        <f aca="true" t="shared" si="14" ref="CC8:CC17">B8</f>
        <v>Cambridgeshire</v>
      </c>
      <c r="CD8" s="6">
        <f>BM8</f>
        <v>17</v>
      </c>
      <c r="CE8" s="6">
        <f>AY8</f>
        <v>91</v>
      </c>
      <c r="CF8" s="6">
        <f>AZ8</f>
        <v>46</v>
      </c>
      <c r="CG8" s="6">
        <f>CV8</f>
        <v>0</v>
      </c>
      <c r="CH8" s="33">
        <f>A8</f>
        <v>1</v>
      </c>
      <c r="CI8" s="33">
        <f>BZ8</f>
        <v>9</v>
      </c>
      <c r="CJ8" s="6">
        <v>1</v>
      </c>
      <c r="CK8" s="36">
        <f aca="true" t="shared" si="15" ref="CK8:CK17">VLOOKUP(g01order,g01table,7,0)</f>
        <v>1</v>
      </c>
      <c r="CL8" s="37" t="str">
        <f aca="true" t="shared" si="16" ref="CL8:CL17">VLOOKUP(g01order,g01table,2,0)</f>
        <v>Cambridgeshire</v>
      </c>
      <c r="CM8" s="6">
        <f aca="true" t="shared" si="17" ref="CM8:CM17">VLOOKUP(g01order,g01table,8,0)</f>
        <v>9</v>
      </c>
      <c r="CN8" s="6">
        <f aca="true" t="shared" si="18" ref="CN8:CN17">VLOOKUP(g01order,g01table,3,0)</f>
        <v>17</v>
      </c>
      <c r="CO8" s="6">
        <f aca="true" t="shared" si="19" ref="CO8:CO17">VLOOKUP(g01order,g01table,4,0)</f>
        <v>91</v>
      </c>
      <c r="CP8" s="6">
        <f aca="true" t="shared" si="20" ref="CP8:CP17">VLOOKUP(g01order,g01table,5,0)</f>
        <v>46</v>
      </c>
      <c r="CQ8" s="6">
        <f aca="true" t="shared" si="21" ref="CQ8:CQ17">VLOOKUP(g01order,g01table,6,0)</f>
        <v>0</v>
      </c>
      <c r="CR8" s="6">
        <f aca="true" t="shared" si="22" ref="CR8:CR13">((((CN8*1000000)+(CO8*1000)+(CP8-100)*-1))*10)+CQ8</f>
        <v>170910540</v>
      </c>
      <c r="CS8" s="38">
        <f aca="true" t="shared" si="23" ref="CS8:CS13">RANK(CR8,g01tots2)</f>
        <v>1</v>
      </c>
      <c r="CU8" s="39" t="str">
        <f aca="true" t="shared" si="24" ref="CU8:CU13">B8</f>
        <v>Cambridgeshire</v>
      </c>
      <c r="CV8" s="40"/>
    </row>
    <row r="9" spans="1:100" s="6" customFormat="1" ht="18.75">
      <c r="A9" s="41">
        <v>2</v>
      </c>
      <c r="B9" s="42" t="s">
        <v>48</v>
      </c>
      <c r="D9" s="6" t="str">
        <f t="shared" si="0"/>
        <v>Cambridgeshire</v>
      </c>
      <c r="E9" s="6" t="str">
        <f t="shared" si="1"/>
        <v>Norfolk</v>
      </c>
      <c r="F9" s="78" t="str">
        <f aca="true" t="shared" si="25" ref="F9:F52">CONCATENATE(D9," v. ",E9)</f>
        <v>Cambridgeshire v. Norfolk</v>
      </c>
      <c r="G9" s="6">
        <f aca="true" t="shared" si="26" ref="G9:G52">IF(ISNUMBER(SEARCH("0",F9)),1,2)</f>
        <v>2</v>
      </c>
      <c r="H9" s="33">
        <v>1</v>
      </c>
      <c r="I9" s="6" t="s">
        <v>47</v>
      </c>
      <c r="J9" s="79">
        <v>5</v>
      </c>
      <c r="K9" s="33"/>
      <c r="L9" s="83">
        <v>9</v>
      </c>
      <c r="M9" s="83">
        <v>6</v>
      </c>
      <c r="N9" s="34"/>
      <c r="O9" s="35">
        <f>SUMIF(ssg1.1,teama2,ssr1.1)</f>
        <v>7</v>
      </c>
      <c r="P9" s="35">
        <f>SUMIF(ssg1.2,teama2,ssr1.2)</f>
        <v>0</v>
      </c>
      <c r="Q9" s="35">
        <f>SUMIF(ssg1.1,teama2,ssr1.2)</f>
        <v>6</v>
      </c>
      <c r="R9" s="35">
        <f>SUMIF(ssg1.2,teama2,ssr1.1)</f>
        <v>0</v>
      </c>
      <c r="S9" s="35">
        <f>SUMIF(ssg2.1,teama2,ssr2.1)</f>
        <v>0</v>
      </c>
      <c r="T9" s="35">
        <f>SUMIF(ssg2.2,teama2,ssr2.2)</f>
        <v>5</v>
      </c>
      <c r="U9" s="35">
        <f>SUMIF(ssg2.1,teama2,ssr2.2)</f>
        <v>0</v>
      </c>
      <c r="V9" s="35">
        <f>SUMIF(ssg2.2,teama2,ssr2.1)</f>
        <v>7</v>
      </c>
      <c r="W9" s="35">
        <f>SUMIF(ssg3.1,teama2,ssr3.1)</f>
        <v>0</v>
      </c>
      <c r="X9" s="35">
        <f>SUMIF(ssg3.2,teama2,ssr3.2)</f>
        <v>12</v>
      </c>
      <c r="Y9" s="35">
        <f>SUMIF(ssg3.1,teama2,ssr3.2)</f>
        <v>0</v>
      </c>
      <c r="Z9" s="35">
        <f>SUMIF(ssg3.2,teama2,ssr3.1)</f>
        <v>1</v>
      </c>
      <c r="AA9" s="35">
        <f>SUMIF(ssg4.1,teama2,ssr4.1)</f>
        <v>0</v>
      </c>
      <c r="AB9" s="35">
        <f>SUMIF(ssg4.2,teama2,ssr4.2)</f>
        <v>12</v>
      </c>
      <c r="AC9" s="35">
        <f>SUMIF(ssg4.1,teama2,ssr4.2)</f>
        <v>0</v>
      </c>
      <c r="AD9" s="35">
        <f>SUMIF(ssg4.2,teama2,ssr4.1)</f>
        <v>4</v>
      </c>
      <c r="AE9" s="35">
        <f>SUMIF(ssg5.1,teama2,ssr5.1)</f>
        <v>11</v>
      </c>
      <c r="AF9" s="35">
        <f>SUMIF(ssg5.2,teama2,ssr5.2)</f>
        <v>0</v>
      </c>
      <c r="AG9" s="35">
        <f>SUMIF(ssg5.1,teama2,ssr5.2)</f>
        <v>2</v>
      </c>
      <c r="AH9" s="35">
        <f>SUMIF(ssg5.2,teama2,ssr5.1)</f>
        <v>0</v>
      </c>
      <c r="AI9" s="35">
        <f>SUMIF(ssg6.1,teama2,ssr6.1)</f>
        <v>10</v>
      </c>
      <c r="AJ9" s="35">
        <f>SUMIF(ssg6.2,teama2,ssr6.2)</f>
        <v>0</v>
      </c>
      <c r="AK9" s="35">
        <f>SUMIF(ssg6.1,teama2,ssr6.2)</f>
        <v>8</v>
      </c>
      <c r="AL9" s="35">
        <f>SUMIF(ssg6.2,teama2,ssr6.1)</f>
        <v>0</v>
      </c>
      <c r="AM9" s="35">
        <f>SUMIF(ssg7.1,teama2,ssr7.1)</f>
        <v>0</v>
      </c>
      <c r="AN9" s="35">
        <f>SUMIF(ssg7.2,teama2,ssr7.2)</f>
        <v>6</v>
      </c>
      <c r="AO9" s="35">
        <f>SUMIF(ssg7.1,teama2,ssr7.2)</f>
        <v>0</v>
      </c>
      <c r="AP9" s="35">
        <f>SUMIF(ssg7.2,teama2,ssr7.1)</f>
        <v>7</v>
      </c>
      <c r="AQ9" s="35">
        <f>SUMIF(ssg8.1,teama2,ssr8.1)</f>
        <v>0</v>
      </c>
      <c r="AR9" s="35">
        <f>SUMIF(ssg8.2,teama2,ssr8.2)</f>
        <v>6</v>
      </c>
      <c r="AS9" s="35">
        <f>SUMIF(ssg8.1,teama2,ssr8.2)</f>
        <v>0</v>
      </c>
      <c r="AT9" s="35">
        <f>SUMIF(ssg8.2,teama2,ssr8.1)</f>
        <v>7</v>
      </c>
      <c r="AU9" s="35">
        <f>SUMIF(ssg9.1,teama2,ssr9.1)</f>
        <v>12</v>
      </c>
      <c r="AV9" s="35">
        <f>SUMIF(ssg9.2,teama2,ssr9.2)</f>
        <v>0</v>
      </c>
      <c r="AW9" s="35">
        <f>SUMIF(ssg9.1,teama2,ssr9.2)</f>
        <v>6</v>
      </c>
      <c r="AX9" s="35">
        <f>SUMIF(ssg9.2,teama2,ssr9.1)</f>
        <v>0</v>
      </c>
      <c r="AY9" s="33">
        <f aca="true" t="shared" si="27" ref="AY9:AY17">O9+P9+S9+T9+W9+X9+AA9+AB9+AE9+AF9+AI9+AJ9+AM9+AN9+AQ9+AR9+AU9+AV9</f>
        <v>81</v>
      </c>
      <c r="AZ9" s="33">
        <f aca="true" t="shared" si="28" ref="AZ9:AZ17">Q9+R9+U9+V9+Y9+Z9+AC9+AD9+AG9+AH9+AK9+AL9+AO9+AP9+AS9+AT9+AW9+AX9</f>
        <v>48</v>
      </c>
      <c r="BD9" s="6">
        <f t="shared" si="2"/>
        <v>2</v>
      </c>
      <c r="BE9" s="6">
        <f t="shared" si="3"/>
        <v>0</v>
      </c>
      <c r="BF9" s="6">
        <f t="shared" si="4"/>
        <v>2</v>
      </c>
      <c r="BG9" s="6">
        <f t="shared" si="5"/>
        <v>2</v>
      </c>
      <c r="BH9" s="6">
        <f t="shared" si="6"/>
        <v>2</v>
      </c>
      <c r="BI9" s="6">
        <f t="shared" si="7"/>
        <v>2</v>
      </c>
      <c r="BJ9" s="6">
        <f t="shared" si="8"/>
        <v>0</v>
      </c>
      <c r="BK9" s="6">
        <f t="shared" si="9"/>
        <v>0</v>
      </c>
      <c r="BL9" s="6">
        <f t="shared" si="10"/>
        <v>2</v>
      </c>
      <c r="BM9" s="33">
        <f aca="true" t="shared" si="29" ref="BM9:BM17">SUM(BD9:BL9)</f>
        <v>12</v>
      </c>
      <c r="BP9" s="33">
        <f aca="true" t="shared" si="30" ref="BP9:BP17">SUM(O9:R9)</f>
        <v>13</v>
      </c>
      <c r="BQ9" s="33">
        <f aca="true" t="shared" si="31" ref="BQ9:BQ17">SUM(S9:V9)</f>
        <v>12</v>
      </c>
      <c r="BR9" s="33">
        <f aca="true" t="shared" si="32" ref="BR9:BR17">SUM(W9:Z9)</f>
        <v>13</v>
      </c>
      <c r="BS9" s="33">
        <f aca="true" t="shared" si="33" ref="BS9:BS17">SUM(AA9:AD9)</f>
        <v>16</v>
      </c>
      <c r="BT9" s="33">
        <f aca="true" t="shared" si="34" ref="BT9:BT17">SUM(AE9:AH9)</f>
        <v>13</v>
      </c>
      <c r="BU9" s="33">
        <f aca="true" t="shared" si="35" ref="BU9:BU17">SUM(AI9:AL9)</f>
        <v>18</v>
      </c>
      <c r="BV9" s="33">
        <f aca="true" t="shared" si="36" ref="BV9:BV17">SUM(AM9:AP9)</f>
        <v>13</v>
      </c>
      <c r="BW9" s="33">
        <f aca="true" t="shared" si="37" ref="BW9:BW17">SUM(AQ9:AT9)</f>
        <v>13</v>
      </c>
      <c r="BX9" s="33">
        <f aca="true" t="shared" si="38" ref="BX9:BX17">SUM(AU9:AX9)</f>
        <v>18</v>
      </c>
      <c r="BY9" s="33"/>
      <c r="BZ9" s="33">
        <f t="shared" si="11"/>
        <v>9</v>
      </c>
      <c r="CA9" s="6">
        <f t="shared" si="12"/>
        <v>120810522</v>
      </c>
      <c r="CB9" s="6">
        <f t="shared" si="13"/>
        <v>4</v>
      </c>
      <c r="CC9" s="6" t="str">
        <f t="shared" si="14"/>
        <v>Durham</v>
      </c>
      <c r="CD9" s="6">
        <f aca="true" t="shared" si="39" ref="CD9:CD17">BM9</f>
        <v>12</v>
      </c>
      <c r="CE9" s="6">
        <f aca="true" t="shared" si="40" ref="CE9:CF17">AY9</f>
        <v>81</v>
      </c>
      <c r="CF9" s="6">
        <f t="shared" si="40"/>
        <v>48</v>
      </c>
      <c r="CG9" s="6">
        <f aca="true" t="shared" si="41" ref="CG9:CG17">CV9</f>
        <v>0</v>
      </c>
      <c r="CH9" s="33">
        <f aca="true" t="shared" si="42" ref="CH9:CH17">A9</f>
        <v>2</v>
      </c>
      <c r="CI9" s="33">
        <f aca="true" t="shared" si="43" ref="CI9:CI17">BZ9</f>
        <v>9</v>
      </c>
      <c r="CJ9" s="6">
        <v>2</v>
      </c>
      <c r="CK9" s="36">
        <f t="shared" si="15"/>
        <v>7</v>
      </c>
      <c r="CL9" s="37" t="str">
        <f t="shared" si="16"/>
        <v>Northumberland</v>
      </c>
      <c r="CM9" s="6">
        <f t="shared" si="17"/>
        <v>9</v>
      </c>
      <c r="CN9" s="6">
        <f t="shared" si="18"/>
        <v>14</v>
      </c>
      <c r="CO9" s="6">
        <f t="shared" si="19"/>
        <v>95</v>
      </c>
      <c r="CP9" s="6">
        <f t="shared" si="20"/>
        <v>59</v>
      </c>
      <c r="CQ9" s="6">
        <f t="shared" si="21"/>
        <v>0</v>
      </c>
      <c r="CR9" s="6">
        <f t="shared" si="22"/>
        <v>140950410</v>
      </c>
      <c r="CS9" s="38">
        <f t="shared" si="23"/>
        <v>2</v>
      </c>
      <c r="CU9" s="39" t="str">
        <f t="shared" si="24"/>
        <v>Durham</v>
      </c>
      <c r="CV9" s="40"/>
    </row>
    <row r="10" spans="1:100" s="6" customFormat="1" ht="18.75">
      <c r="A10" s="41">
        <v>3</v>
      </c>
      <c r="B10" s="42" t="s">
        <v>49</v>
      </c>
      <c r="D10" s="6" t="str">
        <f t="shared" si="0"/>
        <v>Essex</v>
      </c>
      <c r="E10" s="6" t="str">
        <f t="shared" si="1"/>
        <v>Hertfordshire</v>
      </c>
      <c r="F10" s="78" t="str">
        <f t="shared" si="25"/>
        <v>Essex v. Hertfordshire</v>
      </c>
      <c r="G10" s="6">
        <f t="shared" si="26"/>
        <v>2</v>
      </c>
      <c r="H10" s="33">
        <v>3</v>
      </c>
      <c r="I10" s="6" t="s">
        <v>47</v>
      </c>
      <c r="J10" s="79">
        <v>4</v>
      </c>
      <c r="K10" s="33"/>
      <c r="L10" s="83">
        <v>12</v>
      </c>
      <c r="M10" s="83">
        <v>5</v>
      </c>
      <c r="N10" s="34"/>
      <c r="O10" s="35">
        <f>SUMIF(ssg1.1,teama3,ssr1.1)</f>
        <v>12</v>
      </c>
      <c r="P10" s="35">
        <f>SUMIF(ssg1.2,teama3,ssr1.2)</f>
        <v>0</v>
      </c>
      <c r="Q10" s="35">
        <f>SUMIF(ssg1.1,teama3,ssr1.2)</f>
        <v>5</v>
      </c>
      <c r="R10" s="35">
        <f>SUMIF(ssg1.2,teama3,ssr1.1)</f>
        <v>0</v>
      </c>
      <c r="S10" s="35">
        <f>SUMIF(ssg2.1,teama3,ssr2.1)</f>
        <v>0</v>
      </c>
      <c r="T10" s="35">
        <f>SUMIF(ssg2.2,teama3,ssr2.2)</f>
        <v>6</v>
      </c>
      <c r="U10" s="35">
        <f>SUMIF(ssg2.1,teama3,ssr2.2)</f>
        <v>0</v>
      </c>
      <c r="V10" s="35">
        <f>SUMIF(ssg2.2,teama3,ssr2.1)</f>
        <v>7</v>
      </c>
      <c r="W10" s="35">
        <f>SUMIF(ssg3.1,teama3,ssr3.1)</f>
        <v>0</v>
      </c>
      <c r="X10" s="35">
        <f>SUMIF(ssg3.2,teama3,ssr3.2)</f>
        <v>6</v>
      </c>
      <c r="Y10" s="35">
        <f>SUMIF(ssg3.1,teama3,ssr3.2)</f>
        <v>0</v>
      </c>
      <c r="Z10" s="35">
        <f>SUMIF(ssg3.2,teama3,ssr3.1)</f>
        <v>14</v>
      </c>
      <c r="AA10" s="35">
        <f>SUMIF(ssg4.1,teama3,ssr4.1)</f>
        <v>15</v>
      </c>
      <c r="AB10" s="35">
        <f>SUMIF(ssg4.2,teama3,ssr4.2)</f>
        <v>0</v>
      </c>
      <c r="AC10" s="35">
        <f>SUMIF(ssg4.1,teama3,ssr4.2)</f>
        <v>5</v>
      </c>
      <c r="AD10" s="35">
        <f>SUMIF(ssg4.2,teama3,ssr4.1)</f>
        <v>0</v>
      </c>
      <c r="AE10" s="35">
        <f>SUMIF(ssg5.1,teama3,ssr5.1)</f>
        <v>0</v>
      </c>
      <c r="AF10" s="35">
        <f>SUMIF(ssg5.2,teama3,ssr5.2)</f>
        <v>12</v>
      </c>
      <c r="AG10" s="35">
        <f>SUMIF(ssg5.1,teama3,ssr5.2)</f>
        <v>0</v>
      </c>
      <c r="AH10" s="35">
        <f>SUMIF(ssg5.2,teama3,ssr5.1)</f>
        <v>2</v>
      </c>
      <c r="AI10" s="35">
        <f>SUMIF(ssg6.1,teama3,ssr6.1)</f>
        <v>0</v>
      </c>
      <c r="AJ10" s="35">
        <f>SUMIF(ssg6.2,teama3,ssr6.2)</f>
        <v>5</v>
      </c>
      <c r="AK10" s="35">
        <f>SUMIF(ssg6.1,teama3,ssr6.2)</f>
        <v>0</v>
      </c>
      <c r="AL10" s="35">
        <f>SUMIF(ssg6.2,teama3,ssr6.1)</f>
        <v>8</v>
      </c>
      <c r="AM10" s="35">
        <f>SUMIF(ssg7.1,teama3,ssr7.1)</f>
        <v>0</v>
      </c>
      <c r="AN10" s="35">
        <f>SUMIF(ssg7.2,teama3,ssr7.2)</f>
        <v>5</v>
      </c>
      <c r="AO10" s="35">
        <f>SUMIF(ssg7.1,teama3,ssr7.2)</f>
        <v>0</v>
      </c>
      <c r="AP10" s="35">
        <f>SUMIF(ssg7.2,teama3,ssr7.1)</f>
        <v>10</v>
      </c>
      <c r="AQ10" s="35">
        <f>SUMIF(ssg8.1,teama3,ssr8.1)</f>
        <v>2</v>
      </c>
      <c r="AR10" s="35">
        <f>SUMIF(ssg8.2,teama3,ssr8.2)</f>
        <v>0</v>
      </c>
      <c r="AS10" s="35">
        <f>SUMIF(ssg8.1,teama3,ssr8.2)</f>
        <v>12</v>
      </c>
      <c r="AT10" s="35">
        <f>SUMIF(ssg8.2,teama3,ssr8.1)</f>
        <v>0</v>
      </c>
      <c r="AU10" s="35">
        <f>SUMIF(ssg9.1,teama3,ssr9.1)</f>
        <v>0</v>
      </c>
      <c r="AV10" s="35">
        <f>SUMIF(ssg9.2,teama3,ssr9.2)</f>
        <v>6</v>
      </c>
      <c r="AW10" s="35">
        <f>SUMIF(ssg9.1,teama3,ssr9.2)</f>
        <v>0</v>
      </c>
      <c r="AX10" s="35">
        <f>SUMIF(ssg9.2,teama3,ssr9.1)</f>
        <v>12</v>
      </c>
      <c r="AY10" s="33">
        <f t="shared" si="27"/>
        <v>69</v>
      </c>
      <c r="AZ10" s="33">
        <f t="shared" si="28"/>
        <v>75</v>
      </c>
      <c r="BD10" s="6">
        <f t="shared" si="2"/>
        <v>2</v>
      </c>
      <c r="BE10" s="6">
        <f t="shared" si="3"/>
        <v>0</v>
      </c>
      <c r="BF10" s="6">
        <f t="shared" si="4"/>
        <v>0</v>
      </c>
      <c r="BG10" s="6">
        <f t="shared" si="5"/>
        <v>2</v>
      </c>
      <c r="BH10" s="6">
        <f t="shared" si="6"/>
        <v>2</v>
      </c>
      <c r="BI10" s="6">
        <f t="shared" si="7"/>
        <v>0</v>
      </c>
      <c r="BJ10" s="6">
        <f t="shared" si="8"/>
        <v>0</v>
      </c>
      <c r="BK10" s="6">
        <f t="shared" si="9"/>
        <v>0</v>
      </c>
      <c r="BL10" s="6">
        <f t="shared" si="10"/>
        <v>0</v>
      </c>
      <c r="BM10" s="33">
        <f t="shared" si="29"/>
        <v>6</v>
      </c>
      <c r="BP10" s="33">
        <f t="shared" si="30"/>
        <v>17</v>
      </c>
      <c r="BQ10" s="33">
        <f t="shared" si="31"/>
        <v>13</v>
      </c>
      <c r="BR10" s="33">
        <f t="shared" si="32"/>
        <v>20</v>
      </c>
      <c r="BS10" s="33">
        <f t="shared" si="33"/>
        <v>20</v>
      </c>
      <c r="BT10" s="33">
        <f t="shared" si="34"/>
        <v>14</v>
      </c>
      <c r="BU10" s="33">
        <f t="shared" si="35"/>
        <v>13</v>
      </c>
      <c r="BV10" s="33">
        <f t="shared" si="36"/>
        <v>15</v>
      </c>
      <c r="BW10" s="33">
        <f t="shared" si="37"/>
        <v>14</v>
      </c>
      <c r="BX10" s="33">
        <f t="shared" si="38"/>
        <v>18</v>
      </c>
      <c r="BY10" s="33"/>
      <c r="BZ10" s="33">
        <f t="shared" si="11"/>
        <v>9</v>
      </c>
      <c r="CA10" s="6">
        <f t="shared" si="12"/>
        <v>60690253</v>
      </c>
      <c r="CB10" s="6">
        <f t="shared" si="13"/>
        <v>7</v>
      </c>
      <c r="CC10" s="6" t="str">
        <f t="shared" si="14"/>
        <v>Essex</v>
      </c>
      <c r="CD10" s="6">
        <f t="shared" si="39"/>
        <v>6</v>
      </c>
      <c r="CE10" s="6">
        <f t="shared" si="40"/>
        <v>69</v>
      </c>
      <c r="CF10" s="6">
        <f t="shared" si="40"/>
        <v>75</v>
      </c>
      <c r="CG10" s="6">
        <f t="shared" si="41"/>
        <v>0</v>
      </c>
      <c r="CH10" s="33">
        <f t="shared" si="42"/>
        <v>3</v>
      </c>
      <c r="CI10" s="33">
        <f t="shared" si="43"/>
        <v>9</v>
      </c>
      <c r="CJ10" s="6">
        <v>3</v>
      </c>
      <c r="CK10" s="36">
        <f t="shared" si="15"/>
        <v>9</v>
      </c>
      <c r="CL10" s="37" t="str">
        <f t="shared" si="16"/>
        <v>Suffolk</v>
      </c>
      <c r="CM10" s="6">
        <f t="shared" si="17"/>
        <v>9</v>
      </c>
      <c r="CN10" s="6">
        <f t="shared" si="18"/>
        <v>13</v>
      </c>
      <c r="CO10" s="6">
        <f t="shared" si="19"/>
        <v>95</v>
      </c>
      <c r="CP10" s="6">
        <f t="shared" si="20"/>
        <v>43</v>
      </c>
      <c r="CQ10" s="6">
        <f t="shared" si="21"/>
        <v>0</v>
      </c>
      <c r="CR10" s="6">
        <f t="shared" si="22"/>
        <v>130950570</v>
      </c>
      <c r="CS10" s="38">
        <f t="shared" si="23"/>
        <v>3</v>
      </c>
      <c r="CU10" s="39" t="str">
        <f t="shared" si="24"/>
        <v>Essex</v>
      </c>
      <c r="CV10" s="40"/>
    </row>
    <row r="11" spans="1:100" s="6" customFormat="1" ht="18.75">
      <c r="A11" s="41">
        <v>4</v>
      </c>
      <c r="B11" s="42" t="s">
        <v>50</v>
      </c>
      <c r="C11" s="12"/>
      <c r="D11" s="6" t="str">
        <f t="shared" si="0"/>
        <v>North Tyneside</v>
      </c>
      <c r="E11" s="6" t="str">
        <f t="shared" si="1"/>
        <v>South Tyneside</v>
      </c>
      <c r="F11" s="78" t="str">
        <f t="shared" si="25"/>
        <v>North Tyneside v. South Tyneside</v>
      </c>
      <c r="G11" s="6">
        <f t="shared" si="26"/>
        <v>2</v>
      </c>
      <c r="H11" s="33">
        <v>6</v>
      </c>
      <c r="I11" s="6" t="s">
        <v>47</v>
      </c>
      <c r="J11" s="79">
        <v>8</v>
      </c>
      <c r="K11" s="8"/>
      <c r="L11" s="83">
        <v>9</v>
      </c>
      <c r="M11" s="83">
        <v>9</v>
      </c>
      <c r="N11" s="34"/>
      <c r="O11" s="35">
        <f>SUMIF(ssg1.1,teama4,ssr1.1)</f>
        <v>0</v>
      </c>
      <c r="P11" s="35">
        <f>SUMIF(ssg1.2,teama4,ssr1.2)</f>
        <v>5</v>
      </c>
      <c r="Q11" s="35">
        <f>SUMIF(ssg1.1,teama4,ssr1.2)</f>
        <v>0</v>
      </c>
      <c r="R11" s="35">
        <f>SUMIF(ssg1.2,teama4,ssr1.1)</f>
        <v>12</v>
      </c>
      <c r="S11" s="35">
        <f>SUMIF(ssg2.1,teama4,ssr2.1)</f>
        <v>0</v>
      </c>
      <c r="T11" s="35">
        <f>SUMIF(ssg2.2,teama4,ssr2.2)</f>
        <v>7</v>
      </c>
      <c r="U11" s="35">
        <f>SUMIF(ssg2.1,teama4,ssr2.2)</f>
        <v>0</v>
      </c>
      <c r="V11" s="35">
        <f>SUMIF(ssg2.2,teama4,ssr2.1)</f>
        <v>7</v>
      </c>
      <c r="W11" s="35">
        <f>SUMIF(ssg3.1,teama4,ssr3.1)</f>
        <v>0</v>
      </c>
      <c r="X11" s="35">
        <f>SUMIF(ssg3.2,teama4,ssr3.2)</f>
        <v>4</v>
      </c>
      <c r="Y11" s="35">
        <f>SUMIF(ssg3.1,teama4,ssr3.2)</f>
        <v>0</v>
      </c>
      <c r="Z11" s="35">
        <f>SUMIF(ssg3.2,teama4,ssr3.1)</f>
        <v>9</v>
      </c>
      <c r="AA11" s="35">
        <f>SUMIF(ssg4.1,teama4,ssr4.1)</f>
        <v>0</v>
      </c>
      <c r="AB11" s="35">
        <f>SUMIF(ssg4.2,teama4,ssr4.2)</f>
        <v>7</v>
      </c>
      <c r="AC11" s="35">
        <f>SUMIF(ssg4.1,teama4,ssr4.2)</f>
        <v>0</v>
      </c>
      <c r="AD11" s="35">
        <f>SUMIF(ssg4.2,teama4,ssr4.1)</f>
        <v>12</v>
      </c>
      <c r="AE11" s="35">
        <f>SUMIF(ssg5.1,teama4,ssr5.1)</f>
        <v>0</v>
      </c>
      <c r="AF11" s="35">
        <f>SUMIF(ssg5.2,teama4,ssr5.2)</f>
        <v>2</v>
      </c>
      <c r="AG11" s="35">
        <f>SUMIF(ssg5.1,teama4,ssr5.2)</f>
        <v>0</v>
      </c>
      <c r="AH11" s="35">
        <f>SUMIF(ssg5.2,teama4,ssr5.1)</f>
        <v>11</v>
      </c>
      <c r="AI11" s="35">
        <f>SUMIF(ssg6.1,teama4,ssr6.1)</f>
        <v>0</v>
      </c>
      <c r="AJ11" s="35">
        <f>SUMIF(ssg6.2,teama4,ssr6.2)</f>
        <v>3</v>
      </c>
      <c r="AK11" s="35">
        <f>SUMIF(ssg6.1,teama4,ssr6.2)</f>
        <v>0</v>
      </c>
      <c r="AL11" s="35">
        <f>SUMIF(ssg6.2,teama4,ssr6.1)</f>
        <v>15</v>
      </c>
      <c r="AM11" s="35">
        <f>SUMIF(ssg7.1,teama4,ssr7.1)</f>
        <v>0</v>
      </c>
      <c r="AN11" s="35">
        <f>SUMIF(ssg7.2,teama4,ssr7.2)</f>
        <v>3</v>
      </c>
      <c r="AO11" s="35">
        <f>SUMIF(ssg7.1,teama4,ssr7.2)</f>
        <v>0</v>
      </c>
      <c r="AP11" s="35">
        <f>SUMIF(ssg7.2,teama4,ssr7.1)</f>
        <v>12</v>
      </c>
      <c r="AQ11" s="35">
        <f>SUMIF(ssg8.1,teama4,ssr8.1)</f>
        <v>6</v>
      </c>
      <c r="AR11" s="35">
        <f>SUMIF(ssg8.2,teama4,ssr8.2)</f>
        <v>0</v>
      </c>
      <c r="AS11" s="35">
        <f>SUMIF(ssg8.1,teama4,ssr8.2)</f>
        <v>12</v>
      </c>
      <c r="AT11" s="35">
        <f>SUMIF(ssg8.2,teama4,ssr8.1)</f>
        <v>0</v>
      </c>
      <c r="AU11" s="35">
        <f>SUMIF(ssg9.1,teama4,ssr9.1)</f>
        <v>0</v>
      </c>
      <c r="AV11" s="35">
        <f>SUMIF(ssg9.2,teama4,ssr9.2)</f>
        <v>4</v>
      </c>
      <c r="AW11" s="35">
        <f>SUMIF(ssg9.1,teama4,ssr9.2)</f>
        <v>0</v>
      </c>
      <c r="AX11" s="35">
        <f>SUMIF(ssg9.2,teama4,ssr9.1)</f>
        <v>13</v>
      </c>
      <c r="AY11" s="33">
        <f t="shared" si="27"/>
        <v>41</v>
      </c>
      <c r="AZ11" s="33">
        <f t="shared" si="28"/>
        <v>103</v>
      </c>
      <c r="BD11" s="6">
        <f t="shared" si="2"/>
        <v>0</v>
      </c>
      <c r="BE11" s="6">
        <f t="shared" si="3"/>
        <v>1</v>
      </c>
      <c r="BF11" s="6">
        <f t="shared" si="4"/>
        <v>0</v>
      </c>
      <c r="BG11" s="6">
        <f t="shared" si="5"/>
        <v>0</v>
      </c>
      <c r="BH11" s="6">
        <f t="shared" si="6"/>
        <v>0</v>
      </c>
      <c r="BI11" s="6">
        <f t="shared" si="7"/>
        <v>0</v>
      </c>
      <c r="BJ11" s="6">
        <f t="shared" si="8"/>
        <v>0</v>
      </c>
      <c r="BK11" s="6">
        <f t="shared" si="9"/>
        <v>0</v>
      </c>
      <c r="BL11" s="6">
        <f t="shared" si="10"/>
        <v>0</v>
      </c>
      <c r="BM11" s="33">
        <f t="shared" si="29"/>
        <v>1</v>
      </c>
      <c r="BP11" s="33">
        <f t="shared" si="30"/>
        <v>17</v>
      </c>
      <c r="BQ11" s="33">
        <f t="shared" si="31"/>
        <v>14</v>
      </c>
      <c r="BR11" s="33">
        <f t="shared" si="32"/>
        <v>13</v>
      </c>
      <c r="BS11" s="33">
        <f t="shared" si="33"/>
        <v>19</v>
      </c>
      <c r="BT11" s="33">
        <f t="shared" si="34"/>
        <v>13</v>
      </c>
      <c r="BU11" s="33">
        <f t="shared" si="35"/>
        <v>18</v>
      </c>
      <c r="BV11" s="33">
        <f t="shared" si="36"/>
        <v>15</v>
      </c>
      <c r="BW11" s="33">
        <f t="shared" si="37"/>
        <v>18</v>
      </c>
      <c r="BX11" s="33">
        <f t="shared" si="38"/>
        <v>17</v>
      </c>
      <c r="BY11" s="33"/>
      <c r="BZ11" s="33">
        <f t="shared" si="11"/>
        <v>9</v>
      </c>
      <c r="CA11" s="6">
        <f t="shared" si="12"/>
        <v>10409974</v>
      </c>
      <c r="CB11" s="6">
        <f t="shared" si="13"/>
        <v>10</v>
      </c>
      <c r="CC11" s="6" t="str">
        <f t="shared" si="14"/>
        <v>Hertfordshire</v>
      </c>
      <c r="CD11" s="6">
        <f t="shared" si="39"/>
        <v>1</v>
      </c>
      <c r="CE11" s="6">
        <f t="shared" si="40"/>
        <v>41</v>
      </c>
      <c r="CF11" s="6">
        <f t="shared" si="40"/>
        <v>103</v>
      </c>
      <c r="CG11" s="6">
        <f t="shared" si="41"/>
        <v>0</v>
      </c>
      <c r="CH11" s="33">
        <f t="shared" si="42"/>
        <v>4</v>
      </c>
      <c r="CI11" s="33">
        <f t="shared" si="43"/>
        <v>9</v>
      </c>
      <c r="CJ11" s="6">
        <v>4</v>
      </c>
      <c r="CK11" s="36">
        <f t="shared" si="15"/>
        <v>2</v>
      </c>
      <c r="CL11" s="37" t="str">
        <f t="shared" si="16"/>
        <v>Durham</v>
      </c>
      <c r="CM11" s="6">
        <f t="shared" si="17"/>
        <v>9</v>
      </c>
      <c r="CN11" s="6">
        <f t="shared" si="18"/>
        <v>12</v>
      </c>
      <c r="CO11" s="6">
        <f t="shared" si="19"/>
        <v>81</v>
      </c>
      <c r="CP11" s="6">
        <f t="shared" si="20"/>
        <v>48</v>
      </c>
      <c r="CQ11" s="6">
        <f t="shared" si="21"/>
        <v>0</v>
      </c>
      <c r="CR11" s="6">
        <f t="shared" si="22"/>
        <v>120810520</v>
      </c>
      <c r="CS11" s="38">
        <f t="shared" si="23"/>
        <v>4</v>
      </c>
      <c r="CU11" s="39" t="str">
        <f t="shared" si="24"/>
        <v>Hertfordshire</v>
      </c>
      <c r="CV11" s="40"/>
    </row>
    <row r="12" spans="1:100" s="6" customFormat="1" ht="18.75">
      <c r="A12" s="41">
        <v>5</v>
      </c>
      <c r="B12" s="42" t="s">
        <v>51</v>
      </c>
      <c r="C12" s="12"/>
      <c r="D12" s="6" t="str">
        <f t="shared" si="0"/>
        <v>Northumberland</v>
      </c>
      <c r="E12" s="6" t="str">
        <f t="shared" si="1"/>
        <v>Sunderland</v>
      </c>
      <c r="F12" s="80" t="str">
        <f t="shared" si="25"/>
        <v>Northumberland v. Sunderland</v>
      </c>
      <c r="G12" s="47">
        <f t="shared" si="26"/>
        <v>2</v>
      </c>
      <c r="H12" s="81">
        <v>7</v>
      </c>
      <c r="I12" s="47" t="s">
        <v>47</v>
      </c>
      <c r="J12" s="82">
        <v>10</v>
      </c>
      <c r="K12" s="8"/>
      <c r="L12" s="83">
        <v>9</v>
      </c>
      <c r="M12" s="83">
        <v>12</v>
      </c>
      <c r="N12" s="34"/>
      <c r="O12" s="35">
        <f>SUMIF(ssg1.1,teama5,ssr1.1)</f>
        <v>0</v>
      </c>
      <c r="P12" s="35">
        <f>SUMIF(ssg1.2,teama5,ssr1.2)</f>
        <v>6</v>
      </c>
      <c r="Q12" s="35">
        <f>SUMIF(ssg1.1,teama5,ssr1.2)</f>
        <v>0</v>
      </c>
      <c r="R12" s="35">
        <f>SUMIF(ssg1.2,teama5,ssr1.1)</f>
        <v>9</v>
      </c>
      <c r="S12" s="35">
        <f>SUMIF(ssg2.1,teama5,ssr2.1)</f>
        <v>0</v>
      </c>
      <c r="T12" s="35">
        <f>SUMIF(ssg2.2,teama5,ssr2.2)</f>
        <v>2</v>
      </c>
      <c r="U12" s="35">
        <f>SUMIF(ssg2.1,teama5,ssr2.2)</f>
        <v>0</v>
      </c>
      <c r="V12" s="35">
        <f>SUMIF(ssg2.2,teama5,ssr2.1)</f>
        <v>19</v>
      </c>
      <c r="W12" s="35">
        <f>SUMIF(ssg3.1,teama5,ssr3.1)</f>
        <v>0</v>
      </c>
      <c r="X12" s="35">
        <f>SUMIF(ssg3.2,teama5,ssr3.2)</f>
        <v>6</v>
      </c>
      <c r="Y12" s="35">
        <f>SUMIF(ssg3.1,teama5,ssr3.2)</f>
        <v>0</v>
      </c>
      <c r="Z12" s="35">
        <f>SUMIF(ssg3.2,teama5,ssr3.1)</f>
        <v>10</v>
      </c>
      <c r="AA12" s="35">
        <f>SUMIF(ssg4.1,teama5,ssr4.1)</f>
        <v>0</v>
      </c>
      <c r="AB12" s="35">
        <f>SUMIF(ssg4.2,teama5,ssr4.2)</f>
        <v>5</v>
      </c>
      <c r="AC12" s="35">
        <f>SUMIF(ssg4.1,teama5,ssr4.2)</f>
        <v>0</v>
      </c>
      <c r="AD12" s="35">
        <f>SUMIF(ssg4.2,teama5,ssr4.1)</f>
        <v>15</v>
      </c>
      <c r="AE12" s="35">
        <f>SUMIF(ssg5.1,teama5,ssr5.1)</f>
        <v>0</v>
      </c>
      <c r="AF12" s="35">
        <f>SUMIF(ssg5.2,teama5,ssr5.2)</f>
        <v>12</v>
      </c>
      <c r="AG12" s="35">
        <f>SUMIF(ssg5.1,teama5,ssr5.2)</f>
        <v>0</v>
      </c>
      <c r="AH12" s="35">
        <f>SUMIF(ssg5.2,teama5,ssr5.1)</f>
        <v>2</v>
      </c>
      <c r="AI12" s="35">
        <f>SUMIF(ssg6.1,teama5,ssr6.1)</f>
        <v>0</v>
      </c>
      <c r="AJ12" s="35">
        <f>SUMIF(ssg6.2,teama5,ssr6.2)</f>
        <v>8</v>
      </c>
      <c r="AK12" s="35">
        <f>SUMIF(ssg6.1,teama5,ssr6.2)</f>
        <v>0</v>
      </c>
      <c r="AL12" s="35">
        <f>SUMIF(ssg6.2,teama5,ssr6.1)</f>
        <v>10</v>
      </c>
      <c r="AM12" s="35">
        <f>SUMIF(ssg7.1,teama5,ssr7.1)</f>
        <v>0</v>
      </c>
      <c r="AN12" s="35">
        <f>SUMIF(ssg7.2,teama5,ssr7.2)</f>
        <v>5</v>
      </c>
      <c r="AO12" s="35">
        <f>SUMIF(ssg7.1,teama5,ssr7.2)</f>
        <v>0</v>
      </c>
      <c r="AP12" s="35">
        <f>SUMIF(ssg7.2,teama5,ssr7.1)</f>
        <v>7</v>
      </c>
      <c r="AQ12" s="35">
        <f>SUMIF(ssg8.1,teama5,ssr8.1)</f>
        <v>0</v>
      </c>
      <c r="AR12" s="35">
        <f>SUMIF(ssg8.2,teama5,ssr8.2)</f>
        <v>12</v>
      </c>
      <c r="AS12" s="35">
        <f>SUMIF(ssg8.1,teama5,ssr8.2)</f>
        <v>0</v>
      </c>
      <c r="AT12" s="35">
        <f>SUMIF(ssg8.2,teama5,ssr8.1)</f>
        <v>6</v>
      </c>
      <c r="AU12" s="35">
        <f>SUMIF(ssg9.1,teama5,ssr9.1)</f>
        <v>0</v>
      </c>
      <c r="AV12" s="35">
        <f>SUMIF(ssg9.2,teama5,ssr9.2)</f>
        <v>9</v>
      </c>
      <c r="AW12" s="35">
        <f>SUMIF(ssg9.1,teama5,ssr9.2)</f>
        <v>0</v>
      </c>
      <c r="AX12" s="35">
        <f>SUMIF(ssg9.2,teama5,ssr9.1)</f>
        <v>4</v>
      </c>
      <c r="AY12" s="33">
        <f t="shared" si="27"/>
        <v>65</v>
      </c>
      <c r="AZ12" s="33">
        <f t="shared" si="28"/>
        <v>82</v>
      </c>
      <c r="BD12" s="6">
        <f t="shared" si="2"/>
        <v>0</v>
      </c>
      <c r="BE12" s="6">
        <f t="shared" si="3"/>
        <v>0</v>
      </c>
      <c r="BF12" s="6">
        <f t="shared" si="4"/>
        <v>0</v>
      </c>
      <c r="BG12" s="6">
        <f t="shared" si="5"/>
        <v>0</v>
      </c>
      <c r="BH12" s="6">
        <f t="shared" si="6"/>
        <v>2</v>
      </c>
      <c r="BI12" s="6">
        <f t="shared" si="7"/>
        <v>0</v>
      </c>
      <c r="BJ12" s="6">
        <f t="shared" si="8"/>
        <v>0</v>
      </c>
      <c r="BK12" s="6">
        <f t="shared" si="9"/>
        <v>2</v>
      </c>
      <c r="BL12" s="6">
        <f t="shared" si="10"/>
        <v>2</v>
      </c>
      <c r="BM12" s="33">
        <f t="shared" si="29"/>
        <v>6</v>
      </c>
      <c r="BP12" s="33">
        <f t="shared" si="30"/>
        <v>15</v>
      </c>
      <c r="BQ12" s="33">
        <f t="shared" si="31"/>
        <v>21</v>
      </c>
      <c r="BR12" s="33">
        <f t="shared" si="32"/>
        <v>16</v>
      </c>
      <c r="BS12" s="33">
        <f t="shared" si="33"/>
        <v>20</v>
      </c>
      <c r="BT12" s="33">
        <f t="shared" si="34"/>
        <v>14</v>
      </c>
      <c r="BU12" s="33">
        <f t="shared" si="35"/>
        <v>18</v>
      </c>
      <c r="BV12" s="33">
        <f t="shared" si="36"/>
        <v>12</v>
      </c>
      <c r="BW12" s="33">
        <f t="shared" si="37"/>
        <v>18</v>
      </c>
      <c r="BX12" s="33">
        <f t="shared" si="38"/>
        <v>13</v>
      </c>
      <c r="BY12" s="33"/>
      <c r="BZ12" s="33">
        <f t="shared" si="11"/>
        <v>9</v>
      </c>
      <c r="CA12" s="6">
        <f t="shared" si="12"/>
        <v>60650185</v>
      </c>
      <c r="CB12" s="6">
        <f t="shared" si="13"/>
        <v>8</v>
      </c>
      <c r="CC12" s="6" t="str">
        <f t="shared" si="14"/>
        <v>Norfolk</v>
      </c>
      <c r="CD12" s="6">
        <f t="shared" si="39"/>
        <v>6</v>
      </c>
      <c r="CE12" s="6">
        <f t="shared" si="40"/>
        <v>65</v>
      </c>
      <c r="CF12" s="6">
        <f t="shared" si="40"/>
        <v>82</v>
      </c>
      <c r="CG12" s="6">
        <f t="shared" si="41"/>
        <v>0</v>
      </c>
      <c r="CH12" s="33">
        <f t="shared" si="42"/>
        <v>5</v>
      </c>
      <c r="CI12" s="33">
        <f t="shared" si="43"/>
        <v>9</v>
      </c>
      <c r="CJ12" s="6">
        <v>5</v>
      </c>
      <c r="CK12" s="36">
        <f t="shared" si="15"/>
        <v>10</v>
      </c>
      <c r="CL12" s="37" t="str">
        <f t="shared" si="16"/>
        <v>Sunderland</v>
      </c>
      <c r="CM12" s="6">
        <f t="shared" si="17"/>
        <v>9</v>
      </c>
      <c r="CN12" s="6">
        <f t="shared" si="18"/>
        <v>8</v>
      </c>
      <c r="CO12" s="6">
        <f t="shared" si="19"/>
        <v>57</v>
      </c>
      <c r="CP12" s="6">
        <f t="shared" si="20"/>
        <v>76</v>
      </c>
      <c r="CQ12" s="6">
        <f t="shared" si="21"/>
        <v>0</v>
      </c>
      <c r="CR12" s="6">
        <f t="shared" si="22"/>
        <v>80570240</v>
      </c>
      <c r="CS12" s="38">
        <f t="shared" si="23"/>
        <v>5</v>
      </c>
      <c r="CU12" s="39" t="str">
        <f t="shared" si="24"/>
        <v>Norfolk</v>
      </c>
      <c r="CV12" s="40"/>
    </row>
    <row r="13" spans="1:100" s="6" customFormat="1" ht="18">
      <c r="A13" s="41">
        <v>6</v>
      </c>
      <c r="B13" s="42" t="s">
        <v>78</v>
      </c>
      <c r="D13" s="6" t="str">
        <f t="shared" si="0"/>
        <v>South Tyneside</v>
      </c>
      <c r="E13" s="6" t="str">
        <f t="shared" si="1"/>
        <v>Hertfordshire</v>
      </c>
      <c r="F13" s="74" t="str">
        <f t="shared" si="25"/>
        <v>South Tyneside v. Hertfordshire</v>
      </c>
      <c r="G13" s="75">
        <f>IF(ISNUMBER(SEARCH("0",F13)),1,2)</f>
        <v>2</v>
      </c>
      <c r="H13" s="76">
        <v>8</v>
      </c>
      <c r="I13" s="75" t="s">
        <v>47</v>
      </c>
      <c r="J13" s="77">
        <v>4</v>
      </c>
      <c r="K13" s="33"/>
      <c r="L13" s="83">
        <v>7</v>
      </c>
      <c r="M13" s="83">
        <v>7</v>
      </c>
      <c r="O13" s="35">
        <f>SUMIF(ssg1.1,teama6,ssr1.1)</f>
        <v>9</v>
      </c>
      <c r="P13" s="35">
        <f>SUMIF(ssg1.2,teama6,ssr1.2)</f>
        <v>0</v>
      </c>
      <c r="Q13" s="35">
        <f>SUMIF(ssg1.1,teama6,ssr1.2)</f>
        <v>9</v>
      </c>
      <c r="R13" s="35">
        <f>SUMIF(ssg1.2,teama6,ssr1.1)</f>
        <v>0</v>
      </c>
      <c r="S13" s="35">
        <f>SUMIF(ssg2.1,teama6,ssr2.1)</f>
        <v>5</v>
      </c>
      <c r="T13" s="35">
        <f>SUMIF(ssg2.2,teama6,ssr2.2)</f>
        <v>0</v>
      </c>
      <c r="U13" s="35">
        <f>SUMIF(ssg2.1,teama6,ssr2.2)</f>
        <v>10</v>
      </c>
      <c r="V13" s="35">
        <f>SUMIF(ssg2.2,teama6,ssr2.1)</f>
        <v>0</v>
      </c>
      <c r="W13" s="35">
        <f>SUMIF(ssg3.1,teama6,ssr3.1)</f>
        <v>1</v>
      </c>
      <c r="X13" s="35">
        <f>SUMIF(ssg3.2,teama6,ssr3.2)</f>
        <v>0</v>
      </c>
      <c r="Y13" s="35">
        <f>SUMIF(ssg3.1,teama6,ssr3.2)</f>
        <v>12</v>
      </c>
      <c r="Z13" s="35">
        <f>SUMIF(ssg3.2,teama6,ssr3.1)</f>
        <v>0</v>
      </c>
      <c r="AA13" s="35">
        <f>SUMIF(ssg4.1,teama6,ssr4.1)</f>
        <v>12</v>
      </c>
      <c r="AB13" s="35">
        <f>SUMIF(ssg4.2,teama6,ssr4.2)</f>
        <v>0</v>
      </c>
      <c r="AC13" s="35">
        <f>SUMIF(ssg4.1,teama6,ssr4.2)</f>
        <v>7</v>
      </c>
      <c r="AD13" s="35">
        <f>SUMIF(ssg4.2,teama6,ssr4.1)</f>
        <v>0</v>
      </c>
      <c r="AE13" s="35">
        <f>SUMIF(ssg5.1,teama6,ssr5.1)</f>
        <v>2</v>
      </c>
      <c r="AF13" s="35">
        <f>SUMIF(ssg5.2,teama6,ssr5.2)</f>
        <v>0</v>
      </c>
      <c r="AG13" s="35">
        <f>SUMIF(ssg5.1,teama6,ssr5.2)</f>
        <v>12</v>
      </c>
      <c r="AH13" s="35">
        <f>SUMIF(ssg5.2,teama6,ssr5.1)</f>
        <v>0</v>
      </c>
      <c r="AI13" s="35">
        <f>SUMIF(ssg6.1,teama6,ssr6.1)</f>
        <v>8</v>
      </c>
      <c r="AJ13" s="35">
        <f>SUMIF(ssg6.2,teama6,ssr6.2)</f>
        <v>0</v>
      </c>
      <c r="AK13" s="35">
        <f>SUMIF(ssg6.1,teama6,ssr6.2)</f>
        <v>5</v>
      </c>
      <c r="AL13" s="35">
        <f>SUMIF(ssg6.2,teama6,ssr6.1)</f>
        <v>0</v>
      </c>
      <c r="AM13" s="35">
        <f>SUMIF(ssg7.1,teama6,ssr7.1)</f>
        <v>7</v>
      </c>
      <c r="AN13" s="35">
        <f>SUMIF(ssg7.2,teama6,ssr7.2)</f>
        <v>0</v>
      </c>
      <c r="AO13" s="35">
        <f>SUMIF(ssg7.1,teama6,ssr7.2)</f>
        <v>6</v>
      </c>
      <c r="AP13" s="35">
        <f>SUMIF(ssg7.2,teama6,ssr7.1)</f>
        <v>0</v>
      </c>
      <c r="AQ13" s="35">
        <f>SUMIF(ssg8.1,teama6,ssr8.1)</f>
        <v>4</v>
      </c>
      <c r="AR13" s="35">
        <f>SUMIF(ssg8.2,teama6,ssr8.2)</f>
        <v>0</v>
      </c>
      <c r="AS13" s="35">
        <f>SUMIF(ssg8.1,teama6,ssr8.2)</f>
        <v>15</v>
      </c>
      <c r="AT13" s="35">
        <f>SUMIF(ssg8.2,teama6,ssr8.1)</f>
        <v>0</v>
      </c>
      <c r="AU13" s="35">
        <f>SUMIF(ssg9.1,teama6,ssr9.1)</f>
        <v>3</v>
      </c>
      <c r="AV13" s="35">
        <f>SUMIF(ssg9.2,teama6,ssr9.2)</f>
        <v>0</v>
      </c>
      <c r="AW13" s="35">
        <f>SUMIF(ssg9.1,teama6,ssr9.2)</f>
        <v>9</v>
      </c>
      <c r="AX13" s="35">
        <f>SUMIF(ssg9.2,teama6,ssr9.1)</f>
        <v>0</v>
      </c>
      <c r="AY13" s="33">
        <f t="shared" si="27"/>
        <v>51</v>
      </c>
      <c r="AZ13" s="33">
        <f t="shared" si="28"/>
        <v>85</v>
      </c>
      <c r="BD13" s="6">
        <f t="shared" si="2"/>
        <v>1</v>
      </c>
      <c r="BE13" s="6">
        <f t="shared" si="3"/>
        <v>0</v>
      </c>
      <c r="BF13" s="6">
        <f t="shared" si="4"/>
        <v>0</v>
      </c>
      <c r="BG13" s="6">
        <f t="shared" si="5"/>
        <v>2</v>
      </c>
      <c r="BH13" s="6">
        <f t="shared" si="6"/>
        <v>0</v>
      </c>
      <c r="BI13" s="6">
        <f t="shared" si="7"/>
        <v>2</v>
      </c>
      <c r="BJ13" s="6">
        <f t="shared" si="8"/>
        <v>2</v>
      </c>
      <c r="BK13" s="6">
        <f t="shared" si="9"/>
        <v>0</v>
      </c>
      <c r="BL13" s="6">
        <f t="shared" si="10"/>
        <v>0</v>
      </c>
      <c r="BM13" s="33">
        <f t="shared" si="29"/>
        <v>7</v>
      </c>
      <c r="BP13" s="33">
        <f t="shared" si="30"/>
        <v>18</v>
      </c>
      <c r="BQ13" s="33">
        <f t="shared" si="31"/>
        <v>15</v>
      </c>
      <c r="BR13" s="33">
        <f t="shared" si="32"/>
        <v>13</v>
      </c>
      <c r="BS13" s="33">
        <f t="shared" si="33"/>
        <v>19</v>
      </c>
      <c r="BT13" s="33">
        <f t="shared" si="34"/>
        <v>14</v>
      </c>
      <c r="BU13" s="33">
        <f t="shared" si="35"/>
        <v>13</v>
      </c>
      <c r="BV13" s="33">
        <f t="shared" si="36"/>
        <v>13</v>
      </c>
      <c r="BW13" s="33">
        <f t="shared" si="37"/>
        <v>19</v>
      </c>
      <c r="BX13" s="33">
        <f t="shared" si="38"/>
        <v>12</v>
      </c>
      <c r="BY13" s="33"/>
      <c r="BZ13" s="33">
        <f t="shared" si="11"/>
        <v>9</v>
      </c>
      <c r="CA13" s="6">
        <f t="shared" si="12"/>
        <v>70510156</v>
      </c>
      <c r="CB13" s="6">
        <f t="shared" si="13"/>
        <v>6</v>
      </c>
      <c r="CC13" s="6" t="str">
        <f t="shared" si="14"/>
        <v>North Tyneside</v>
      </c>
      <c r="CD13" s="6">
        <f t="shared" si="39"/>
        <v>7</v>
      </c>
      <c r="CE13" s="6">
        <f t="shared" si="40"/>
        <v>51</v>
      </c>
      <c r="CF13" s="6">
        <f t="shared" si="40"/>
        <v>85</v>
      </c>
      <c r="CG13" s="6">
        <f t="shared" si="41"/>
        <v>0</v>
      </c>
      <c r="CH13" s="33">
        <f t="shared" si="42"/>
        <v>6</v>
      </c>
      <c r="CI13" s="33">
        <f t="shared" si="43"/>
        <v>9</v>
      </c>
      <c r="CJ13" s="6">
        <v>6</v>
      </c>
      <c r="CK13" s="36">
        <f t="shared" si="15"/>
        <v>6</v>
      </c>
      <c r="CL13" s="37" t="str">
        <f t="shared" si="16"/>
        <v>North Tyneside</v>
      </c>
      <c r="CM13" s="6">
        <f t="shared" si="17"/>
        <v>9</v>
      </c>
      <c r="CN13" s="6">
        <f t="shared" si="18"/>
        <v>7</v>
      </c>
      <c r="CO13" s="6">
        <f t="shared" si="19"/>
        <v>51</v>
      </c>
      <c r="CP13" s="6">
        <f t="shared" si="20"/>
        <v>85</v>
      </c>
      <c r="CQ13" s="6">
        <f t="shared" si="21"/>
        <v>0</v>
      </c>
      <c r="CR13" s="6">
        <f t="shared" si="22"/>
        <v>70510150</v>
      </c>
      <c r="CS13" s="38">
        <f t="shared" si="23"/>
        <v>6</v>
      </c>
      <c r="CU13" s="39" t="str">
        <f t="shared" si="24"/>
        <v>North Tyneside</v>
      </c>
      <c r="CV13" s="40"/>
    </row>
    <row r="14" spans="1:100" s="6" customFormat="1" ht="18">
      <c r="A14" s="41">
        <v>7</v>
      </c>
      <c r="B14" s="42" t="s">
        <v>80</v>
      </c>
      <c r="D14" s="6" t="str">
        <f t="shared" si="0"/>
        <v>North Tyneside</v>
      </c>
      <c r="E14" s="6" t="str">
        <f t="shared" si="1"/>
        <v>Cambridgeshire</v>
      </c>
      <c r="F14" s="78" t="str">
        <f t="shared" si="25"/>
        <v>North Tyneside v. Cambridgeshire</v>
      </c>
      <c r="G14" s="6">
        <f>IF(ISNUMBER(SEARCH("0",F14)),1,2)</f>
        <v>2</v>
      </c>
      <c r="H14" s="33">
        <v>6</v>
      </c>
      <c r="I14" s="6" t="s">
        <v>47</v>
      </c>
      <c r="J14" s="79">
        <v>1</v>
      </c>
      <c r="K14" s="33"/>
      <c r="L14" s="83">
        <v>5</v>
      </c>
      <c r="M14" s="83">
        <v>10</v>
      </c>
      <c r="O14" s="35">
        <f>SUMIF(ssg1.1,teama7,ssr1.1)</f>
        <v>9</v>
      </c>
      <c r="P14" s="35">
        <f>SUMIF(ssg1.2,teama7,ssr1.2)</f>
        <v>0</v>
      </c>
      <c r="Q14" s="35">
        <f>SUMIF(ssg1.1,teama7,ssr1.2)</f>
        <v>12</v>
      </c>
      <c r="R14" s="35">
        <f>SUMIF(ssg1.2,teama7,ssr1.1)</f>
        <v>0</v>
      </c>
      <c r="S14" s="35">
        <f>SUMIF(ssg2.1,teama7,ssr2.1)</f>
        <v>7</v>
      </c>
      <c r="T14" s="35">
        <f>SUMIF(ssg2.2,teama7,ssr2.2)</f>
        <v>0</v>
      </c>
      <c r="U14" s="35">
        <f>SUMIF(ssg2.1,teama7,ssr2.2)</f>
        <v>5</v>
      </c>
      <c r="V14" s="35">
        <f>SUMIF(ssg2.2,teama7,ssr2.1)</f>
        <v>0</v>
      </c>
      <c r="W14" s="35">
        <f>SUMIF(ssg3.1,teama7,ssr3.1)</f>
        <v>14</v>
      </c>
      <c r="X14" s="35">
        <f>SUMIF(ssg3.2,teama7,ssr3.2)</f>
        <v>0</v>
      </c>
      <c r="Y14" s="35">
        <f>SUMIF(ssg3.1,teama7,ssr3.2)</f>
        <v>6</v>
      </c>
      <c r="Z14" s="35">
        <f>SUMIF(ssg3.2,teama7,ssr3.1)</f>
        <v>0</v>
      </c>
      <c r="AA14" s="35">
        <f>SUMIF(ssg4.1,teama7,ssr4.1)</f>
        <v>12</v>
      </c>
      <c r="AB14" s="35">
        <f>SUMIF(ssg4.2,teama7,ssr4.2)</f>
        <v>0</v>
      </c>
      <c r="AC14" s="35">
        <f>SUMIF(ssg4.1,teama7,ssr4.2)</f>
        <v>4</v>
      </c>
      <c r="AD14" s="35">
        <f>SUMIF(ssg4.2,teama7,ssr4.1)</f>
        <v>0</v>
      </c>
      <c r="AE14" s="35">
        <f>SUMIF(ssg5.1,teama7,ssr5.1)</f>
        <v>2</v>
      </c>
      <c r="AF14" s="35">
        <f>SUMIF(ssg5.2,teama7,ssr5.2)</f>
        <v>0</v>
      </c>
      <c r="AG14" s="35">
        <f>SUMIF(ssg5.1,teama7,ssr5.2)</f>
        <v>13</v>
      </c>
      <c r="AH14" s="35">
        <f>SUMIF(ssg5.2,teama7,ssr5.1)</f>
        <v>0</v>
      </c>
      <c r="AI14" s="35">
        <f>SUMIF(ssg6.1,teama7,ssr6.1)</f>
        <v>15</v>
      </c>
      <c r="AJ14" s="35">
        <f>SUMIF(ssg6.2,teama7,ssr6.2)</f>
        <v>0</v>
      </c>
      <c r="AK14" s="35">
        <f>SUMIF(ssg6.1,teama7,ssr6.2)</f>
        <v>3</v>
      </c>
      <c r="AL14" s="35">
        <f>SUMIF(ssg6.2,teama7,ssr6.1)</f>
        <v>0</v>
      </c>
      <c r="AM14" s="35">
        <f>SUMIF(ssg7.1,teama7,ssr7.1)</f>
        <v>7</v>
      </c>
      <c r="AN14" s="35">
        <f>SUMIF(ssg7.2,teama7,ssr7.2)</f>
        <v>0</v>
      </c>
      <c r="AO14" s="35">
        <f>SUMIF(ssg7.1,teama7,ssr7.2)</f>
        <v>5</v>
      </c>
      <c r="AP14" s="35">
        <f>SUMIF(ssg7.2,teama7,ssr7.1)</f>
        <v>0</v>
      </c>
      <c r="AQ14" s="35">
        <f>SUMIF(ssg8.1,teama7,ssr8.1)</f>
        <v>0</v>
      </c>
      <c r="AR14" s="35">
        <f>SUMIF(ssg8.2,teama7,ssr8.2)</f>
        <v>15</v>
      </c>
      <c r="AS14" s="35">
        <f>SUMIF(ssg8.1,teama7,ssr8.2)</f>
        <v>0</v>
      </c>
      <c r="AT14" s="35">
        <f>SUMIF(ssg8.2,teama7,ssr8.1)</f>
        <v>4</v>
      </c>
      <c r="AU14" s="35">
        <f>SUMIF(ssg9.1,teama7,ssr9.1)</f>
        <v>14</v>
      </c>
      <c r="AV14" s="35">
        <f>SUMIF(ssg9.2,teama7,ssr9.2)</f>
        <v>0</v>
      </c>
      <c r="AW14" s="35">
        <f>SUMIF(ssg9.1,teama7,ssr9.2)</f>
        <v>7</v>
      </c>
      <c r="AX14" s="35">
        <f>SUMIF(ssg9.2,teama7,ssr9.1)</f>
        <v>0</v>
      </c>
      <c r="AY14" s="33">
        <f t="shared" si="27"/>
        <v>95</v>
      </c>
      <c r="AZ14" s="33">
        <f t="shared" si="28"/>
        <v>59</v>
      </c>
      <c r="BD14" s="6">
        <f t="shared" si="2"/>
        <v>0</v>
      </c>
      <c r="BE14" s="6">
        <f t="shared" si="3"/>
        <v>2</v>
      </c>
      <c r="BF14" s="6">
        <f t="shared" si="4"/>
        <v>2</v>
      </c>
      <c r="BG14" s="6">
        <f t="shared" si="5"/>
        <v>2</v>
      </c>
      <c r="BH14" s="6">
        <f t="shared" si="6"/>
        <v>0</v>
      </c>
      <c r="BI14" s="6">
        <f t="shared" si="7"/>
        <v>2</v>
      </c>
      <c r="BJ14" s="6">
        <f t="shared" si="8"/>
        <v>2</v>
      </c>
      <c r="BK14" s="6">
        <f t="shared" si="9"/>
        <v>2</v>
      </c>
      <c r="BL14" s="6">
        <f t="shared" si="10"/>
        <v>2</v>
      </c>
      <c r="BM14" s="33">
        <f t="shared" si="29"/>
        <v>14</v>
      </c>
      <c r="BP14" s="33">
        <f t="shared" si="30"/>
        <v>21</v>
      </c>
      <c r="BQ14" s="33">
        <f t="shared" si="31"/>
        <v>12</v>
      </c>
      <c r="BR14" s="33">
        <f t="shared" si="32"/>
        <v>20</v>
      </c>
      <c r="BS14" s="33">
        <f t="shared" si="33"/>
        <v>16</v>
      </c>
      <c r="BT14" s="33">
        <f t="shared" si="34"/>
        <v>15</v>
      </c>
      <c r="BU14" s="33">
        <f t="shared" si="35"/>
        <v>18</v>
      </c>
      <c r="BV14" s="33">
        <f t="shared" si="36"/>
        <v>12</v>
      </c>
      <c r="BW14" s="33">
        <f t="shared" si="37"/>
        <v>19</v>
      </c>
      <c r="BX14" s="33">
        <f t="shared" si="38"/>
        <v>21</v>
      </c>
      <c r="BY14" s="33"/>
      <c r="BZ14" s="33">
        <f t="shared" si="11"/>
        <v>9</v>
      </c>
      <c r="CA14" s="6">
        <f t="shared" si="12"/>
        <v>140950417</v>
      </c>
      <c r="CB14" s="6">
        <f t="shared" si="13"/>
        <v>2</v>
      </c>
      <c r="CC14" s="6" t="str">
        <f t="shared" si="14"/>
        <v>Northumberland</v>
      </c>
      <c r="CD14" s="6">
        <f t="shared" si="39"/>
        <v>14</v>
      </c>
      <c r="CE14" s="6">
        <f t="shared" si="40"/>
        <v>95</v>
      </c>
      <c r="CF14" s="6">
        <f t="shared" si="40"/>
        <v>59</v>
      </c>
      <c r="CG14" s="6">
        <f t="shared" si="41"/>
        <v>0</v>
      </c>
      <c r="CH14" s="33">
        <f t="shared" si="42"/>
        <v>7</v>
      </c>
      <c r="CI14" s="33">
        <f t="shared" si="43"/>
        <v>9</v>
      </c>
      <c r="CJ14" s="6">
        <v>7</v>
      </c>
      <c r="CK14" s="36">
        <f t="shared" si="15"/>
        <v>3</v>
      </c>
      <c r="CL14" s="37" t="str">
        <f t="shared" si="16"/>
        <v>Essex</v>
      </c>
      <c r="CM14" s="6">
        <f t="shared" si="17"/>
        <v>9</v>
      </c>
      <c r="CN14" s="6">
        <f t="shared" si="18"/>
        <v>6</v>
      </c>
      <c r="CO14" s="6">
        <f t="shared" si="19"/>
        <v>69</v>
      </c>
      <c r="CP14" s="6">
        <f t="shared" si="20"/>
        <v>75</v>
      </c>
      <c r="CQ14" s="6">
        <f t="shared" si="21"/>
        <v>0</v>
      </c>
      <c r="CR14" s="6">
        <f>((((CN14*1000000)+(CO14*1000)+(CP14-100)*-1))*10)+CQ14</f>
        <v>60690250</v>
      </c>
      <c r="CS14" s="38">
        <f>RANK(CR14,g01tots2)</f>
        <v>7</v>
      </c>
      <c r="CU14" s="39" t="str">
        <f>B14</f>
        <v>Northumberland</v>
      </c>
      <c r="CV14" s="40"/>
    </row>
    <row r="15" spans="1:100" s="6" customFormat="1" ht="18">
      <c r="A15" s="41">
        <v>8</v>
      </c>
      <c r="B15" s="42" t="s">
        <v>79</v>
      </c>
      <c r="D15" s="6" t="str">
        <f t="shared" si="0"/>
        <v>Northumberland</v>
      </c>
      <c r="E15" s="6" t="str">
        <f t="shared" si="1"/>
        <v>Durham</v>
      </c>
      <c r="F15" s="78" t="str">
        <f t="shared" si="25"/>
        <v>Northumberland v. Durham</v>
      </c>
      <c r="G15" s="6">
        <f t="shared" si="26"/>
        <v>2</v>
      </c>
      <c r="H15" s="33">
        <v>7</v>
      </c>
      <c r="I15" s="6" t="s">
        <v>47</v>
      </c>
      <c r="J15" s="79">
        <v>2</v>
      </c>
      <c r="K15" s="33"/>
      <c r="L15" s="83">
        <v>7</v>
      </c>
      <c r="M15" s="83">
        <v>5</v>
      </c>
      <c r="O15" s="35">
        <f>SUMIF(ssg1.1,teama8,ssr1.1)</f>
        <v>0</v>
      </c>
      <c r="P15" s="35">
        <f>SUMIF(ssg1.2,teama8,ssr1.2)</f>
        <v>9</v>
      </c>
      <c r="Q15" s="35">
        <f>SUMIF(ssg1.1,teama8,ssr1.2)</f>
        <v>0</v>
      </c>
      <c r="R15" s="35">
        <f>SUMIF(ssg1.2,teama8,ssr1.1)</f>
        <v>9</v>
      </c>
      <c r="S15" s="35">
        <f>SUMIF(ssg2.1,teama8,ssr2.1)</f>
        <v>7</v>
      </c>
      <c r="T15" s="35">
        <f>SUMIF(ssg2.2,teama8,ssr2.2)</f>
        <v>0</v>
      </c>
      <c r="U15" s="35">
        <f>SUMIF(ssg2.1,teama8,ssr2.2)</f>
        <v>7</v>
      </c>
      <c r="V15" s="35">
        <f>SUMIF(ssg2.2,teama8,ssr2.1)</f>
        <v>0</v>
      </c>
      <c r="W15" s="35">
        <f>SUMIF(ssg3.1,teama8,ssr3.1)</f>
        <v>10</v>
      </c>
      <c r="X15" s="35">
        <f>SUMIF(ssg3.2,teama8,ssr3.2)</f>
        <v>0</v>
      </c>
      <c r="Y15" s="35">
        <f>SUMIF(ssg3.1,teama8,ssr3.2)</f>
        <v>6</v>
      </c>
      <c r="Z15" s="35">
        <f>SUMIF(ssg3.2,teama8,ssr3.1)</f>
        <v>0</v>
      </c>
      <c r="AA15" s="35">
        <f>SUMIF(ssg4.1,teama8,ssr4.1)</f>
        <v>6</v>
      </c>
      <c r="AB15" s="35">
        <f>SUMIF(ssg4.2,teama8,ssr4.2)</f>
        <v>0</v>
      </c>
      <c r="AC15" s="35">
        <f>SUMIF(ssg4.1,teama8,ssr4.2)</f>
        <v>12</v>
      </c>
      <c r="AD15" s="35">
        <f>SUMIF(ssg4.2,teama8,ssr4.1)</f>
        <v>0</v>
      </c>
      <c r="AE15" s="35">
        <f>SUMIF(ssg5.1,teama8,ssr5.1)</f>
        <v>2</v>
      </c>
      <c r="AF15" s="35">
        <f>SUMIF(ssg5.2,teama8,ssr5.2)</f>
        <v>0</v>
      </c>
      <c r="AG15" s="35">
        <f>SUMIF(ssg5.1,teama8,ssr5.2)</f>
        <v>12</v>
      </c>
      <c r="AH15" s="35">
        <f>SUMIF(ssg5.2,teama8,ssr5.1)</f>
        <v>0</v>
      </c>
      <c r="AI15" s="35">
        <f>SUMIF(ssg6.1,teama8,ssr6.1)</f>
        <v>3</v>
      </c>
      <c r="AJ15" s="35">
        <f>SUMIF(ssg6.2,teama8,ssr6.2)</f>
        <v>0</v>
      </c>
      <c r="AK15" s="35">
        <f>SUMIF(ssg6.1,teama8,ssr6.2)</f>
        <v>11</v>
      </c>
      <c r="AL15" s="35">
        <f>SUMIF(ssg6.2,teama8,ssr6.1)</f>
        <v>0</v>
      </c>
      <c r="AM15" s="35">
        <f>SUMIF(ssg7.1,teama8,ssr7.1)</f>
        <v>7</v>
      </c>
      <c r="AN15" s="35">
        <f>SUMIF(ssg7.2,teama8,ssr7.2)</f>
        <v>0</v>
      </c>
      <c r="AO15" s="35">
        <f>SUMIF(ssg7.1,teama8,ssr7.2)</f>
        <v>6</v>
      </c>
      <c r="AP15" s="35">
        <f>SUMIF(ssg7.2,teama8,ssr7.1)</f>
        <v>0</v>
      </c>
      <c r="AQ15" s="35">
        <f>SUMIF(ssg8.1,teama8,ssr8.1)</f>
        <v>6</v>
      </c>
      <c r="AR15" s="35">
        <f>SUMIF(ssg8.2,teama8,ssr8.2)</f>
        <v>0</v>
      </c>
      <c r="AS15" s="35">
        <f>SUMIF(ssg8.1,teama8,ssr8.2)</f>
        <v>8</v>
      </c>
      <c r="AT15" s="35">
        <f>SUMIF(ssg8.2,teama8,ssr8.1)</f>
        <v>0</v>
      </c>
      <c r="AU15" s="35">
        <f>SUMIF(ssg9.1,teama8,ssr9.1)</f>
        <v>0</v>
      </c>
      <c r="AV15" s="35">
        <f>SUMIF(ssg9.2,teama8,ssr9.2)</f>
        <v>7</v>
      </c>
      <c r="AW15" s="35">
        <f>SUMIF(ssg9.1,teama8,ssr9.2)</f>
        <v>0</v>
      </c>
      <c r="AX15" s="35">
        <f>SUMIF(ssg9.2,teama8,ssr9.1)</f>
        <v>14</v>
      </c>
      <c r="AY15" s="33">
        <f t="shared" si="27"/>
        <v>57</v>
      </c>
      <c r="AZ15" s="33">
        <f t="shared" si="28"/>
        <v>85</v>
      </c>
      <c r="BD15" s="6">
        <f t="shared" si="2"/>
        <v>1</v>
      </c>
      <c r="BE15" s="6">
        <f t="shared" si="3"/>
        <v>1</v>
      </c>
      <c r="BF15" s="6">
        <f t="shared" si="4"/>
        <v>2</v>
      </c>
      <c r="BG15" s="6">
        <f t="shared" si="5"/>
        <v>0</v>
      </c>
      <c r="BH15" s="6">
        <f t="shared" si="6"/>
        <v>0</v>
      </c>
      <c r="BI15" s="6">
        <f t="shared" si="7"/>
        <v>0</v>
      </c>
      <c r="BJ15" s="6">
        <f t="shared" si="8"/>
        <v>2</v>
      </c>
      <c r="BK15" s="6">
        <f t="shared" si="9"/>
        <v>0</v>
      </c>
      <c r="BL15" s="6">
        <f t="shared" si="10"/>
        <v>0</v>
      </c>
      <c r="BM15" s="33">
        <f t="shared" si="29"/>
        <v>6</v>
      </c>
      <c r="BP15" s="33">
        <f t="shared" si="30"/>
        <v>18</v>
      </c>
      <c r="BQ15" s="33">
        <f t="shared" si="31"/>
        <v>14</v>
      </c>
      <c r="BR15" s="33">
        <f t="shared" si="32"/>
        <v>16</v>
      </c>
      <c r="BS15" s="33">
        <f t="shared" si="33"/>
        <v>18</v>
      </c>
      <c r="BT15" s="33">
        <f t="shared" si="34"/>
        <v>14</v>
      </c>
      <c r="BU15" s="33">
        <f t="shared" si="35"/>
        <v>14</v>
      </c>
      <c r="BV15" s="33">
        <f t="shared" si="36"/>
        <v>13</v>
      </c>
      <c r="BW15" s="33">
        <f t="shared" si="37"/>
        <v>14</v>
      </c>
      <c r="BX15" s="33">
        <f t="shared" si="38"/>
        <v>21</v>
      </c>
      <c r="BY15" s="33"/>
      <c r="BZ15" s="33">
        <f t="shared" si="11"/>
        <v>9</v>
      </c>
      <c r="CA15" s="6">
        <f t="shared" si="12"/>
        <v>60570158</v>
      </c>
      <c r="CB15" s="6">
        <f t="shared" si="13"/>
        <v>9</v>
      </c>
      <c r="CC15" s="6" t="str">
        <f t="shared" si="14"/>
        <v>South Tyneside</v>
      </c>
      <c r="CD15" s="6">
        <f t="shared" si="39"/>
        <v>6</v>
      </c>
      <c r="CE15" s="6">
        <f t="shared" si="40"/>
        <v>57</v>
      </c>
      <c r="CF15" s="6">
        <f t="shared" si="40"/>
        <v>85</v>
      </c>
      <c r="CG15" s="6">
        <f t="shared" si="41"/>
        <v>0</v>
      </c>
      <c r="CH15" s="33">
        <f t="shared" si="42"/>
        <v>8</v>
      </c>
      <c r="CI15" s="33">
        <f t="shared" si="43"/>
        <v>9</v>
      </c>
      <c r="CJ15" s="6">
        <v>8</v>
      </c>
      <c r="CK15" s="36">
        <f t="shared" si="15"/>
        <v>5</v>
      </c>
      <c r="CL15" s="37" t="str">
        <f t="shared" si="16"/>
        <v>Norfolk</v>
      </c>
      <c r="CM15" s="6">
        <f t="shared" si="17"/>
        <v>9</v>
      </c>
      <c r="CN15" s="6">
        <f t="shared" si="18"/>
        <v>6</v>
      </c>
      <c r="CO15" s="6">
        <f t="shared" si="19"/>
        <v>65</v>
      </c>
      <c r="CP15" s="6">
        <f t="shared" si="20"/>
        <v>82</v>
      </c>
      <c r="CQ15" s="6">
        <f t="shared" si="21"/>
        <v>0</v>
      </c>
      <c r="CR15" s="6">
        <f>((((CN15*1000000)+(CO15*1000)+(CP15-100)*-1))*10)+CQ15</f>
        <v>60650180</v>
      </c>
      <c r="CS15" s="38">
        <f>RANK(CR15,g01tots2)</f>
        <v>8</v>
      </c>
      <c r="CU15" s="39" t="str">
        <f>B15</f>
        <v>South Tyneside</v>
      </c>
      <c r="CV15" s="40"/>
    </row>
    <row r="16" spans="1:100" s="6" customFormat="1" ht="18">
      <c r="A16" s="41">
        <v>9</v>
      </c>
      <c r="B16" s="42" t="s">
        <v>54</v>
      </c>
      <c r="D16" s="6" t="str">
        <f t="shared" si="0"/>
        <v>Suffolk</v>
      </c>
      <c r="E16" s="6" t="str">
        <f t="shared" si="1"/>
        <v>Norfolk</v>
      </c>
      <c r="F16" s="78" t="str">
        <f t="shared" si="25"/>
        <v>Suffolk v. Norfolk</v>
      </c>
      <c r="G16" s="6">
        <f t="shared" si="26"/>
        <v>2</v>
      </c>
      <c r="H16" s="33">
        <v>9</v>
      </c>
      <c r="I16" s="6" t="s">
        <v>47</v>
      </c>
      <c r="J16" s="79">
        <v>5</v>
      </c>
      <c r="K16" s="33"/>
      <c r="L16" s="83">
        <v>19</v>
      </c>
      <c r="M16" s="83">
        <v>2</v>
      </c>
      <c r="O16" s="35">
        <f>SUMIF(ssg1.1,teama9,ssr1.1)</f>
        <v>0</v>
      </c>
      <c r="P16" s="35">
        <f>SUMIF(ssg1.2,teama9,ssr1.2)</f>
        <v>6</v>
      </c>
      <c r="Q16" s="35">
        <f>SUMIF(ssg1.1,teama9,ssr1.2)</f>
        <v>0</v>
      </c>
      <c r="R16" s="35">
        <f>SUMIF(ssg1.2,teama9,ssr1.1)</f>
        <v>7</v>
      </c>
      <c r="S16" s="35">
        <f>SUMIF(ssg2.1,teama9,ssr2.1)</f>
        <v>19</v>
      </c>
      <c r="T16" s="35">
        <f>SUMIF(ssg2.2,teama9,ssr2.2)</f>
        <v>0</v>
      </c>
      <c r="U16" s="35">
        <f>SUMIF(ssg2.1,teama9,ssr2.2)</f>
        <v>2</v>
      </c>
      <c r="V16" s="35">
        <f>SUMIF(ssg2.2,teama9,ssr2.1)</f>
        <v>0</v>
      </c>
      <c r="W16" s="35">
        <f>SUMIF(ssg3.1,teama9,ssr3.1)</f>
        <v>0</v>
      </c>
      <c r="X16" s="35">
        <f>SUMIF(ssg3.2,teama9,ssr3.2)</f>
        <v>8</v>
      </c>
      <c r="Y16" s="35">
        <f>SUMIF(ssg3.1,teama9,ssr3.2)</f>
        <v>0</v>
      </c>
      <c r="Z16" s="35">
        <f>SUMIF(ssg3.2,teama9,ssr3.1)</f>
        <v>8</v>
      </c>
      <c r="AA16" s="35">
        <f>SUMIF(ssg4.1,teama9,ssr4.1)</f>
        <v>0</v>
      </c>
      <c r="AB16" s="35">
        <f>SUMIF(ssg4.2,teama9,ssr4.2)</f>
        <v>4</v>
      </c>
      <c r="AC16" s="35">
        <f>SUMIF(ssg4.1,teama9,ssr4.2)</f>
        <v>0</v>
      </c>
      <c r="AD16" s="35">
        <f>SUMIF(ssg4.2,teama9,ssr4.1)</f>
        <v>12</v>
      </c>
      <c r="AE16" s="35">
        <f>SUMIF(ssg5.1,teama9,ssr5.1)</f>
        <v>0</v>
      </c>
      <c r="AF16" s="35">
        <f>SUMIF(ssg5.2,teama9,ssr5.2)</f>
        <v>14</v>
      </c>
      <c r="AG16" s="35">
        <f>SUMIF(ssg5.1,teama9,ssr5.2)</f>
        <v>0</v>
      </c>
      <c r="AH16" s="35">
        <f>SUMIF(ssg5.2,teama9,ssr5.1)</f>
        <v>3</v>
      </c>
      <c r="AI16" s="35">
        <f>SUMIF(ssg6.1,teama9,ssr6.1)</f>
        <v>0</v>
      </c>
      <c r="AJ16" s="35">
        <f>SUMIF(ssg6.2,teama9,ssr6.2)</f>
        <v>11</v>
      </c>
      <c r="AK16" s="35">
        <f>SUMIF(ssg6.1,teama9,ssr6.2)</f>
        <v>0</v>
      </c>
      <c r="AL16" s="35">
        <f>SUMIF(ssg6.2,teama9,ssr6.1)</f>
        <v>3</v>
      </c>
      <c r="AM16" s="35">
        <f>SUMIF(ssg7.1,teama9,ssr7.1)</f>
        <v>12</v>
      </c>
      <c r="AN16" s="35">
        <f>SUMIF(ssg7.2,teama9,ssr7.2)</f>
        <v>0</v>
      </c>
      <c r="AO16" s="35">
        <f>SUMIF(ssg7.1,teama9,ssr7.2)</f>
        <v>3</v>
      </c>
      <c r="AP16" s="35">
        <f>SUMIF(ssg7.2,teama9,ssr7.1)</f>
        <v>0</v>
      </c>
      <c r="AQ16" s="35">
        <f>SUMIF(ssg8.1,teama9,ssr8.1)</f>
        <v>0</v>
      </c>
      <c r="AR16" s="35">
        <f>SUMIF(ssg8.2,teama9,ssr8.2)</f>
        <v>12</v>
      </c>
      <c r="AS16" s="35">
        <f>SUMIF(ssg8.1,teama9,ssr8.2)</f>
        <v>0</v>
      </c>
      <c r="AT16" s="35">
        <f>SUMIF(ssg8.2,teama9,ssr8.1)</f>
        <v>2</v>
      </c>
      <c r="AU16" s="35">
        <f>SUMIF(ssg9.1,teama9,ssr9.1)</f>
        <v>0</v>
      </c>
      <c r="AV16" s="35">
        <f>SUMIF(ssg9.2,teama9,ssr9.2)</f>
        <v>9</v>
      </c>
      <c r="AW16" s="35">
        <f>SUMIF(ssg9.1,teama9,ssr9.2)</f>
        <v>0</v>
      </c>
      <c r="AX16" s="35">
        <f>SUMIF(ssg9.2,teama9,ssr9.1)</f>
        <v>3</v>
      </c>
      <c r="AY16" s="33">
        <f t="shared" si="27"/>
        <v>95</v>
      </c>
      <c r="AZ16" s="33">
        <f t="shared" si="28"/>
        <v>43</v>
      </c>
      <c r="BD16" s="6">
        <f t="shared" si="2"/>
        <v>0</v>
      </c>
      <c r="BE16" s="6">
        <f t="shared" si="3"/>
        <v>2</v>
      </c>
      <c r="BF16" s="6">
        <f t="shared" si="4"/>
        <v>1</v>
      </c>
      <c r="BG16" s="6">
        <f t="shared" si="5"/>
        <v>0</v>
      </c>
      <c r="BH16" s="6">
        <f t="shared" si="6"/>
        <v>2</v>
      </c>
      <c r="BI16" s="6">
        <f t="shared" si="7"/>
        <v>2</v>
      </c>
      <c r="BJ16" s="6">
        <f t="shared" si="8"/>
        <v>2</v>
      </c>
      <c r="BK16" s="6">
        <f t="shared" si="9"/>
        <v>2</v>
      </c>
      <c r="BL16" s="6">
        <f t="shared" si="10"/>
        <v>2</v>
      </c>
      <c r="BM16" s="33">
        <f t="shared" si="29"/>
        <v>13</v>
      </c>
      <c r="BP16" s="33">
        <f t="shared" si="30"/>
        <v>13</v>
      </c>
      <c r="BQ16" s="33">
        <f t="shared" si="31"/>
        <v>21</v>
      </c>
      <c r="BR16" s="33">
        <f t="shared" si="32"/>
        <v>16</v>
      </c>
      <c r="BS16" s="33">
        <f t="shared" si="33"/>
        <v>16</v>
      </c>
      <c r="BT16" s="33">
        <f t="shared" si="34"/>
        <v>17</v>
      </c>
      <c r="BU16" s="33">
        <f t="shared" si="35"/>
        <v>14</v>
      </c>
      <c r="BV16" s="33">
        <f t="shared" si="36"/>
        <v>15</v>
      </c>
      <c r="BW16" s="33">
        <f t="shared" si="37"/>
        <v>14</v>
      </c>
      <c r="BX16" s="33">
        <f t="shared" si="38"/>
        <v>12</v>
      </c>
      <c r="BY16" s="33"/>
      <c r="BZ16" s="33">
        <f t="shared" si="11"/>
        <v>9</v>
      </c>
      <c r="CA16" s="6">
        <f t="shared" si="12"/>
        <v>130950579</v>
      </c>
      <c r="CB16" s="6">
        <f t="shared" si="13"/>
        <v>3</v>
      </c>
      <c r="CC16" s="6" t="str">
        <f t="shared" si="14"/>
        <v>Suffolk</v>
      </c>
      <c r="CD16" s="6">
        <f t="shared" si="39"/>
        <v>13</v>
      </c>
      <c r="CE16" s="6">
        <f t="shared" si="40"/>
        <v>95</v>
      </c>
      <c r="CF16" s="6">
        <f t="shared" si="40"/>
        <v>43</v>
      </c>
      <c r="CG16" s="6">
        <f t="shared" si="41"/>
        <v>0</v>
      </c>
      <c r="CH16" s="33">
        <f t="shared" si="42"/>
        <v>9</v>
      </c>
      <c r="CI16" s="33">
        <f t="shared" si="43"/>
        <v>9</v>
      </c>
      <c r="CJ16" s="6">
        <v>9</v>
      </c>
      <c r="CK16" s="36">
        <f t="shared" si="15"/>
        <v>8</v>
      </c>
      <c r="CL16" s="37" t="str">
        <f t="shared" si="16"/>
        <v>South Tyneside</v>
      </c>
      <c r="CM16" s="6">
        <f t="shared" si="17"/>
        <v>9</v>
      </c>
      <c r="CN16" s="6">
        <f t="shared" si="18"/>
        <v>6</v>
      </c>
      <c r="CO16" s="6">
        <f t="shared" si="19"/>
        <v>57</v>
      </c>
      <c r="CP16" s="6">
        <f t="shared" si="20"/>
        <v>85</v>
      </c>
      <c r="CQ16" s="6">
        <f t="shared" si="21"/>
        <v>0</v>
      </c>
      <c r="CR16" s="6">
        <f>((((CN16*1000000)+(CO16*1000)+(CP16-100)*-1))*10)+CQ16</f>
        <v>60570150</v>
      </c>
      <c r="CS16" s="38">
        <f>RANK(CR16,g01tots2)</f>
        <v>9</v>
      </c>
      <c r="CU16" s="39" t="str">
        <f>B16</f>
        <v>Suffolk</v>
      </c>
      <c r="CV16" s="40"/>
    </row>
    <row r="17" spans="1:100" s="6" customFormat="1" ht="18.75">
      <c r="A17" s="43">
        <v>10</v>
      </c>
      <c r="B17" s="44" t="s">
        <v>55</v>
      </c>
      <c r="C17" s="45"/>
      <c r="D17" s="6" t="str">
        <f t="shared" si="0"/>
        <v>Sunderland</v>
      </c>
      <c r="E17" s="6" t="str">
        <f t="shared" si="1"/>
        <v>Essex</v>
      </c>
      <c r="F17" s="80" t="str">
        <f t="shared" si="25"/>
        <v>Sunderland v. Essex</v>
      </c>
      <c r="G17" s="47">
        <f t="shared" si="26"/>
        <v>2</v>
      </c>
      <c r="H17" s="81">
        <v>10</v>
      </c>
      <c r="I17" s="47" t="s">
        <v>47</v>
      </c>
      <c r="J17" s="82">
        <v>3</v>
      </c>
      <c r="K17" s="33"/>
      <c r="L17" s="83">
        <v>7</v>
      </c>
      <c r="M17" s="83">
        <v>6</v>
      </c>
      <c r="O17" s="35">
        <f>SUMIF(ssg1.1,teama10,ssr1.1)</f>
        <v>0</v>
      </c>
      <c r="P17" s="35">
        <f>SUMIF(ssg1.2,teama10,ssr1.2)</f>
        <v>12</v>
      </c>
      <c r="Q17" s="35">
        <f>SUMIF(ssg1.1,teama10,ssr1.2)</f>
        <v>0</v>
      </c>
      <c r="R17" s="35">
        <f>SUMIF(ssg1.2,teama10,ssr1.1)</f>
        <v>9</v>
      </c>
      <c r="S17" s="35">
        <f>SUMIF(ssg2.1,teama10,ssr2.1)</f>
        <v>7</v>
      </c>
      <c r="T17" s="35">
        <f>SUMIF(ssg2.2,teama10,ssr2.2)</f>
        <v>0</v>
      </c>
      <c r="U17" s="35">
        <f>SUMIF(ssg2.1,teama10,ssr2.2)</f>
        <v>6</v>
      </c>
      <c r="V17" s="35">
        <f>SUMIF(ssg2.2,teama10,ssr2.1)</f>
        <v>0</v>
      </c>
      <c r="W17" s="35">
        <f>SUMIF(ssg3.1,teama10,ssr3.1)</f>
        <v>9</v>
      </c>
      <c r="X17" s="35">
        <f>SUMIF(ssg3.2,teama10,ssr3.2)</f>
        <v>0</v>
      </c>
      <c r="Y17" s="35">
        <f>SUMIF(ssg3.1,teama10,ssr3.2)</f>
        <v>4</v>
      </c>
      <c r="Z17" s="35">
        <f>SUMIF(ssg3.2,teama10,ssr3.1)</f>
        <v>0</v>
      </c>
      <c r="AA17" s="35">
        <f>SUMIF(ssg4.1,teama10,ssr4.1)</f>
        <v>4</v>
      </c>
      <c r="AB17" s="35">
        <f>SUMIF(ssg4.2,teama10,ssr4.2)</f>
        <v>0</v>
      </c>
      <c r="AC17" s="35">
        <f>SUMIF(ssg4.1,teama10,ssr4.2)</f>
        <v>12</v>
      </c>
      <c r="AD17" s="35">
        <f>SUMIF(ssg4.2,teama10,ssr4.1)</f>
        <v>0</v>
      </c>
      <c r="AE17" s="35">
        <f>SUMIF(ssg5.1,teama10,ssr5.1)</f>
        <v>3</v>
      </c>
      <c r="AF17" s="35">
        <f>SUMIF(ssg5.2,teama10,ssr5.2)</f>
        <v>0</v>
      </c>
      <c r="AG17" s="35">
        <f>SUMIF(ssg5.1,teama10,ssr5.2)</f>
        <v>14</v>
      </c>
      <c r="AH17" s="35">
        <f>SUMIF(ssg5.2,teama10,ssr5.1)</f>
        <v>0</v>
      </c>
      <c r="AI17" s="35">
        <f>SUMIF(ssg6.1,teama10,ssr6.1)</f>
        <v>4</v>
      </c>
      <c r="AJ17" s="35">
        <f>SUMIF(ssg6.2,teama10,ssr6.2)</f>
        <v>0</v>
      </c>
      <c r="AK17" s="35">
        <f>SUMIF(ssg6.1,teama10,ssr6.2)</f>
        <v>9</v>
      </c>
      <c r="AL17" s="35">
        <f>SUMIF(ssg6.2,teama10,ssr6.1)</f>
        <v>0</v>
      </c>
      <c r="AM17" s="35">
        <f>SUMIF(ssg7.1,teama10,ssr7.1)</f>
        <v>0</v>
      </c>
      <c r="AN17" s="35">
        <f>SUMIF(ssg7.2,teama10,ssr7.2)</f>
        <v>6</v>
      </c>
      <c r="AO17" s="35">
        <f>SUMIF(ssg7.1,teama10,ssr7.2)</f>
        <v>0</v>
      </c>
      <c r="AP17" s="35">
        <f>SUMIF(ssg7.2,teama10,ssr7.1)</f>
        <v>7</v>
      </c>
      <c r="AQ17" s="35">
        <f>SUMIF(ssg8.1,teama10,ssr8.1)</f>
        <v>0</v>
      </c>
      <c r="AR17" s="35">
        <f>SUMIF(ssg8.2,teama10,ssr8.2)</f>
        <v>8</v>
      </c>
      <c r="AS17" s="35">
        <f>SUMIF(ssg8.1,teama10,ssr8.2)</f>
        <v>0</v>
      </c>
      <c r="AT17" s="35">
        <f>SUMIF(ssg8.2,teama10,ssr8.1)</f>
        <v>6</v>
      </c>
      <c r="AU17" s="35">
        <f>SUMIF(ssg9.1,teama10,ssr9.1)</f>
        <v>4</v>
      </c>
      <c r="AV17" s="35">
        <f>SUMIF(ssg9.2,teama10,ssr9.2)</f>
        <v>0</v>
      </c>
      <c r="AW17" s="35">
        <f>SUMIF(ssg9.1,teama10,ssr9.2)</f>
        <v>9</v>
      </c>
      <c r="AX17" s="35">
        <f>SUMIF(ssg9.2,teama10,ssr9.1)</f>
        <v>0</v>
      </c>
      <c r="AY17" s="33">
        <f t="shared" si="27"/>
        <v>57</v>
      </c>
      <c r="AZ17" s="33">
        <f t="shared" si="28"/>
        <v>76</v>
      </c>
      <c r="BD17" s="6">
        <f t="shared" si="2"/>
        <v>2</v>
      </c>
      <c r="BE17" s="6">
        <f t="shared" si="3"/>
        <v>2</v>
      </c>
      <c r="BF17" s="6">
        <f t="shared" si="4"/>
        <v>2</v>
      </c>
      <c r="BG17" s="6">
        <f t="shared" si="5"/>
        <v>0</v>
      </c>
      <c r="BH17" s="6">
        <f t="shared" si="6"/>
        <v>0</v>
      </c>
      <c r="BI17" s="6">
        <f t="shared" si="7"/>
        <v>0</v>
      </c>
      <c r="BJ17" s="6">
        <f t="shared" si="8"/>
        <v>0</v>
      </c>
      <c r="BK17" s="6">
        <f t="shared" si="9"/>
        <v>2</v>
      </c>
      <c r="BL17" s="6">
        <f t="shared" si="10"/>
        <v>0</v>
      </c>
      <c r="BM17" s="33">
        <f t="shared" si="29"/>
        <v>8</v>
      </c>
      <c r="BP17" s="33">
        <f t="shared" si="30"/>
        <v>21</v>
      </c>
      <c r="BQ17" s="33">
        <f t="shared" si="31"/>
        <v>13</v>
      </c>
      <c r="BR17" s="33">
        <f t="shared" si="32"/>
        <v>13</v>
      </c>
      <c r="BS17" s="33">
        <f t="shared" si="33"/>
        <v>16</v>
      </c>
      <c r="BT17" s="33">
        <f t="shared" si="34"/>
        <v>17</v>
      </c>
      <c r="BU17" s="33">
        <f t="shared" si="35"/>
        <v>13</v>
      </c>
      <c r="BV17" s="33">
        <f t="shared" si="36"/>
        <v>13</v>
      </c>
      <c r="BW17" s="33">
        <f t="shared" si="37"/>
        <v>14</v>
      </c>
      <c r="BX17" s="33">
        <f t="shared" si="38"/>
        <v>13</v>
      </c>
      <c r="BY17" s="33"/>
      <c r="BZ17" s="33">
        <f>COUNTIF(BP17:BX17,"&gt;0")</f>
        <v>9</v>
      </c>
      <c r="CA17" s="6">
        <f t="shared" si="12"/>
        <v>80570250</v>
      </c>
      <c r="CB17" s="6">
        <f t="shared" si="13"/>
        <v>5</v>
      </c>
      <c r="CC17" s="6" t="str">
        <f t="shared" si="14"/>
        <v>Sunderland</v>
      </c>
      <c r="CD17" s="6">
        <f t="shared" si="39"/>
        <v>8</v>
      </c>
      <c r="CE17" s="6">
        <f t="shared" si="40"/>
        <v>57</v>
      </c>
      <c r="CF17" s="6">
        <f t="shared" si="40"/>
        <v>76</v>
      </c>
      <c r="CG17" s="6">
        <f t="shared" si="41"/>
        <v>0</v>
      </c>
      <c r="CH17" s="33">
        <f t="shared" si="42"/>
        <v>10</v>
      </c>
      <c r="CI17" s="33">
        <f t="shared" si="43"/>
        <v>9</v>
      </c>
      <c r="CJ17" s="6">
        <v>10</v>
      </c>
      <c r="CK17" s="36">
        <f t="shared" si="15"/>
        <v>4</v>
      </c>
      <c r="CL17" s="46" t="str">
        <f t="shared" si="16"/>
        <v>Hertfordshire</v>
      </c>
      <c r="CM17" s="47">
        <f t="shared" si="17"/>
        <v>9</v>
      </c>
      <c r="CN17" s="47">
        <f t="shared" si="18"/>
        <v>1</v>
      </c>
      <c r="CO17" s="47">
        <f t="shared" si="19"/>
        <v>41</v>
      </c>
      <c r="CP17" s="47">
        <f t="shared" si="20"/>
        <v>103</v>
      </c>
      <c r="CQ17" s="47">
        <f t="shared" si="21"/>
        <v>0</v>
      </c>
      <c r="CR17" s="47">
        <f>((((CN17*1000000)+(CO17*1000)+(CP17-100)*-1))*10)+CQ17</f>
        <v>10409970</v>
      </c>
      <c r="CS17" s="48">
        <f>RANK(CR17,g01tots2)</f>
        <v>10</v>
      </c>
      <c r="CU17" s="49" t="str">
        <f>B17</f>
        <v>Sunderland</v>
      </c>
      <c r="CV17" s="50"/>
    </row>
    <row r="18" spans="1:97" s="6" customFormat="1" ht="18.75">
      <c r="A18" s="33"/>
      <c r="B18" s="36"/>
      <c r="C18" s="45"/>
      <c r="D18" s="6" t="str">
        <f t="shared" si="0"/>
        <v>South Tyneside</v>
      </c>
      <c r="E18" s="6" t="str">
        <f t="shared" si="1"/>
        <v>Norfolk</v>
      </c>
      <c r="F18" s="74" t="str">
        <f t="shared" si="25"/>
        <v>South Tyneside v. Norfolk</v>
      </c>
      <c r="G18" s="75">
        <f t="shared" si="26"/>
        <v>2</v>
      </c>
      <c r="H18" s="76">
        <v>8</v>
      </c>
      <c r="I18" s="75" t="s">
        <v>47</v>
      </c>
      <c r="J18" s="77">
        <v>5</v>
      </c>
      <c r="K18" s="33"/>
      <c r="L18" s="83">
        <v>10</v>
      </c>
      <c r="M18" s="83">
        <v>6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Y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H18" s="33"/>
      <c r="CI18" s="33"/>
      <c r="CK18" s="36"/>
      <c r="CL18" s="36"/>
      <c r="CS18" s="51"/>
    </row>
    <row r="19" spans="1:97" s="6" customFormat="1" ht="18.75">
      <c r="A19" s="33"/>
      <c r="B19" s="36"/>
      <c r="C19" s="45"/>
      <c r="D19" s="6" t="str">
        <f t="shared" si="0"/>
        <v>North Tyneside</v>
      </c>
      <c r="E19" s="6" t="str">
        <f t="shared" si="1"/>
        <v>Durham</v>
      </c>
      <c r="F19" s="78" t="str">
        <f t="shared" si="25"/>
        <v>North Tyneside v. Durham</v>
      </c>
      <c r="G19" s="6">
        <f t="shared" si="26"/>
        <v>2</v>
      </c>
      <c r="H19" s="33">
        <v>6</v>
      </c>
      <c r="I19" s="6" t="s">
        <v>47</v>
      </c>
      <c r="J19" s="79">
        <v>2</v>
      </c>
      <c r="K19" s="33"/>
      <c r="L19" s="83">
        <v>1</v>
      </c>
      <c r="M19" s="83">
        <v>12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Y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H19" s="33"/>
      <c r="CI19" s="33"/>
      <c r="CK19" s="36"/>
      <c r="CL19" s="36"/>
      <c r="CS19" s="51"/>
    </row>
    <row r="20" spans="1:97" s="6" customFormat="1" ht="18.75">
      <c r="A20" s="33"/>
      <c r="B20" s="36"/>
      <c r="C20" s="45"/>
      <c r="D20" s="6" t="str">
        <f t="shared" si="0"/>
        <v>Sunderland</v>
      </c>
      <c r="E20" s="6" t="str">
        <f t="shared" si="1"/>
        <v>Hertfordshire</v>
      </c>
      <c r="F20" s="78" t="str">
        <f t="shared" si="25"/>
        <v>Sunderland v. Hertfordshire</v>
      </c>
      <c r="G20" s="6">
        <f>IF(ISNUMBER(SEARCH("0",F20)),1,2)</f>
        <v>2</v>
      </c>
      <c r="H20" s="33">
        <v>10</v>
      </c>
      <c r="I20" s="6" t="s">
        <v>47</v>
      </c>
      <c r="J20" s="79">
        <v>4</v>
      </c>
      <c r="K20" s="33"/>
      <c r="L20" s="83">
        <v>9</v>
      </c>
      <c r="M20" s="83">
        <v>4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H20" s="33"/>
      <c r="CI20" s="33"/>
      <c r="CK20" s="36"/>
      <c r="CL20" s="36"/>
      <c r="CS20" s="51"/>
    </row>
    <row r="21" spans="1:97" s="6" customFormat="1" ht="18.75">
      <c r="A21" s="33"/>
      <c r="B21" s="36"/>
      <c r="C21" s="45"/>
      <c r="D21" s="6" t="str">
        <f t="shared" si="0"/>
        <v>Northumberland</v>
      </c>
      <c r="E21" s="6" t="str">
        <f t="shared" si="1"/>
        <v>Essex</v>
      </c>
      <c r="F21" s="78" t="str">
        <f t="shared" si="25"/>
        <v>Northumberland v. Essex</v>
      </c>
      <c r="G21" s="6">
        <f t="shared" si="26"/>
        <v>2</v>
      </c>
      <c r="H21" s="33">
        <v>7</v>
      </c>
      <c r="I21" s="6" t="s">
        <v>47</v>
      </c>
      <c r="J21" s="79">
        <v>3</v>
      </c>
      <c r="K21" s="33"/>
      <c r="L21" s="83">
        <v>14</v>
      </c>
      <c r="M21" s="83">
        <v>6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H21" s="33"/>
      <c r="CI21" s="33"/>
      <c r="CK21" s="36"/>
      <c r="CL21" s="36"/>
      <c r="CS21" s="51"/>
    </row>
    <row r="22" spans="1:97" s="6" customFormat="1" ht="18">
      <c r="A22" s="33"/>
      <c r="B22" s="36"/>
      <c r="D22" s="6" t="str">
        <f t="shared" si="0"/>
        <v>Cambridgeshire</v>
      </c>
      <c r="E22" s="6" t="str">
        <f t="shared" si="1"/>
        <v>Suffolk</v>
      </c>
      <c r="F22" s="80" t="str">
        <f t="shared" si="25"/>
        <v>Cambridgeshire v. Suffolk</v>
      </c>
      <c r="G22" s="47">
        <f t="shared" si="26"/>
        <v>2</v>
      </c>
      <c r="H22" s="81">
        <v>1</v>
      </c>
      <c r="I22" s="47" t="s">
        <v>47</v>
      </c>
      <c r="J22" s="82">
        <v>9</v>
      </c>
      <c r="K22" s="33"/>
      <c r="L22" s="83">
        <v>8</v>
      </c>
      <c r="M22" s="83">
        <v>8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H22" s="33"/>
      <c r="CI22" s="33"/>
      <c r="CK22" s="36"/>
      <c r="CL22" s="36"/>
      <c r="CS22" s="51"/>
    </row>
    <row r="23" spans="4:13" ht="18.75">
      <c r="D23" s="6" t="str">
        <f t="shared" si="0"/>
        <v>Essex</v>
      </c>
      <c r="E23" s="6" t="str">
        <f t="shared" si="1"/>
        <v>Norfolk</v>
      </c>
      <c r="F23" s="74" t="str">
        <f t="shared" si="25"/>
        <v>Essex v. Norfolk</v>
      </c>
      <c r="G23" s="75">
        <f t="shared" si="26"/>
        <v>2</v>
      </c>
      <c r="H23" s="76">
        <v>3</v>
      </c>
      <c r="I23" s="75" t="s">
        <v>47</v>
      </c>
      <c r="J23" s="77">
        <v>5</v>
      </c>
      <c r="L23" s="83">
        <v>15</v>
      </c>
      <c r="M23" s="83">
        <v>5</v>
      </c>
    </row>
    <row r="24" spans="4:13" ht="18.75">
      <c r="D24" s="6" t="str">
        <f t="shared" si="0"/>
        <v>Northumberland</v>
      </c>
      <c r="E24" s="6" t="str">
        <f t="shared" si="1"/>
        <v>Suffolk</v>
      </c>
      <c r="F24" s="78" t="str">
        <f t="shared" si="25"/>
        <v>Northumberland v. Suffolk</v>
      </c>
      <c r="G24" s="6">
        <f t="shared" si="26"/>
        <v>2</v>
      </c>
      <c r="H24" s="33">
        <v>7</v>
      </c>
      <c r="I24" s="6" t="s">
        <v>47</v>
      </c>
      <c r="J24" s="79">
        <v>9</v>
      </c>
      <c r="L24" s="83">
        <v>12</v>
      </c>
      <c r="M24" s="83">
        <v>4</v>
      </c>
    </row>
    <row r="25" spans="4:13" ht="18.75">
      <c r="D25" s="6" t="str">
        <f t="shared" si="0"/>
        <v>South Tyneside</v>
      </c>
      <c r="E25" s="6" t="str">
        <f t="shared" si="1"/>
        <v>Cambridgeshire</v>
      </c>
      <c r="F25" s="78" t="str">
        <f t="shared" si="25"/>
        <v>South Tyneside v. Cambridgeshire</v>
      </c>
      <c r="G25" s="6">
        <f t="shared" si="26"/>
        <v>2</v>
      </c>
      <c r="H25" s="33">
        <v>8</v>
      </c>
      <c r="I25" s="6" t="s">
        <v>47</v>
      </c>
      <c r="J25" s="79">
        <v>1</v>
      </c>
      <c r="L25" s="83">
        <v>6</v>
      </c>
      <c r="M25" s="83">
        <v>12</v>
      </c>
    </row>
    <row r="26" spans="4:13" ht="18.75">
      <c r="D26" s="6" t="str">
        <f t="shared" si="0"/>
        <v>Sunderland</v>
      </c>
      <c r="E26" s="6" t="str">
        <f t="shared" si="1"/>
        <v>Durham</v>
      </c>
      <c r="F26" s="78" t="str">
        <f t="shared" si="25"/>
        <v>Sunderland v. Durham</v>
      </c>
      <c r="G26" s="6">
        <f t="shared" si="26"/>
        <v>2</v>
      </c>
      <c r="H26" s="33">
        <v>10</v>
      </c>
      <c r="I26" s="6" t="s">
        <v>47</v>
      </c>
      <c r="J26" s="79">
        <v>2</v>
      </c>
      <c r="L26" s="83">
        <v>4</v>
      </c>
      <c r="M26" s="83">
        <v>12</v>
      </c>
    </row>
    <row r="27" spans="4:13" ht="18.75">
      <c r="D27" s="6" t="str">
        <f t="shared" si="0"/>
        <v>North Tyneside</v>
      </c>
      <c r="E27" s="6" t="str">
        <f t="shared" si="1"/>
        <v>Hertfordshire</v>
      </c>
      <c r="F27" s="80" t="str">
        <f t="shared" si="25"/>
        <v>North Tyneside v. Hertfordshire</v>
      </c>
      <c r="G27" s="47">
        <f t="shared" si="26"/>
        <v>2</v>
      </c>
      <c r="H27" s="81">
        <v>6</v>
      </c>
      <c r="I27" s="47" t="s">
        <v>47</v>
      </c>
      <c r="J27" s="82">
        <v>4</v>
      </c>
      <c r="L27" s="83">
        <v>12</v>
      </c>
      <c r="M27" s="83">
        <v>7</v>
      </c>
    </row>
    <row r="28" spans="4:13" ht="18.75">
      <c r="D28" s="6" t="str">
        <f t="shared" si="0"/>
        <v>Sunderland</v>
      </c>
      <c r="E28" s="6" t="str">
        <f t="shared" si="1"/>
        <v>Suffolk</v>
      </c>
      <c r="F28" s="74" t="str">
        <f t="shared" si="25"/>
        <v>Sunderland v. Suffolk</v>
      </c>
      <c r="G28" s="75">
        <f t="shared" si="26"/>
        <v>2</v>
      </c>
      <c r="H28" s="76">
        <v>10</v>
      </c>
      <c r="I28" s="75" t="s">
        <v>47</v>
      </c>
      <c r="J28" s="77">
        <v>9</v>
      </c>
      <c r="L28" s="83">
        <v>3</v>
      </c>
      <c r="M28" s="83">
        <v>14</v>
      </c>
    </row>
    <row r="29" spans="4:13" ht="18.75">
      <c r="D29" s="6" t="str">
        <f t="shared" si="0"/>
        <v>South Tyneside</v>
      </c>
      <c r="E29" s="6" t="str">
        <f t="shared" si="1"/>
        <v>Essex</v>
      </c>
      <c r="F29" s="78" t="str">
        <f t="shared" si="25"/>
        <v>South Tyneside v. Essex</v>
      </c>
      <c r="G29" s="6">
        <f t="shared" si="26"/>
        <v>2</v>
      </c>
      <c r="H29" s="33">
        <v>8</v>
      </c>
      <c r="I29" s="6" t="s">
        <v>47</v>
      </c>
      <c r="J29" s="79">
        <v>3</v>
      </c>
      <c r="L29" s="83">
        <v>2</v>
      </c>
      <c r="M29" s="83">
        <v>12</v>
      </c>
    </row>
    <row r="30" spans="4:13" ht="18.75">
      <c r="D30" s="6" t="str">
        <f t="shared" si="0"/>
        <v>North Tyneside</v>
      </c>
      <c r="E30" s="6" t="str">
        <f t="shared" si="1"/>
        <v>Norfolk</v>
      </c>
      <c r="F30" s="78" t="str">
        <f t="shared" si="25"/>
        <v>North Tyneside v. Norfolk</v>
      </c>
      <c r="G30" s="6">
        <f t="shared" si="26"/>
        <v>2</v>
      </c>
      <c r="H30" s="33">
        <v>6</v>
      </c>
      <c r="I30" s="6" t="s">
        <v>47</v>
      </c>
      <c r="J30" s="79">
        <v>5</v>
      </c>
      <c r="L30" s="83">
        <v>2</v>
      </c>
      <c r="M30" s="83">
        <v>12</v>
      </c>
    </row>
    <row r="31" spans="4:13" ht="18.75">
      <c r="D31" s="6" t="str">
        <f t="shared" si="0"/>
        <v>Durham</v>
      </c>
      <c r="E31" s="6" t="str">
        <f t="shared" si="1"/>
        <v>Hertfordshire</v>
      </c>
      <c r="F31" s="78" t="str">
        <f t="shared" si="25"/>
        <v>Durham v. Hertfordshire</v>
      </c>
      <c r="G31" s="6">
        <f t="shared" si="26"/>
        <v>2</v>
      </c>
      <c r="H31" s="33">
        <v>2</v>
      </c>
      <c r="I31" s="6" t="s">
        <v>47</v>
      </c>
      <c r="J31" s="79">
        <v>4</v>
      </c>
      <c r="L31" s="83">
        <v>11</v>
      </c>
      <c r="M31" s="83">
        <v>2</v>
      </c>
    </row>
    <row r="32" spans="4:13" ht="18.75">
      <c r="D32" s="6" t="str">
        <f t="shared" si="0"/>
        <v>Northumberland</v>
      </c>
      <c r="E32" s="6" t="str">
        <f t="shared" si="1"/>
        <v>Cambridgeshire</v>
      </c>
      <c r="F32" s="80" t="str">
        <f t="shared" si="25"/>
        <v>Northumberland v. Cambridgeshire</v>
      </c>
      <c r="G32" s="47">
        <f t="shared" si="26"/>
        <v>2</v>
      </c>
      <c r="H32" s="81">
        <v>7</v>
      </c>
      <c r="I32" s="47" t="s">
        <v>47</v>
      </c>
      <c r="J32" s="82">
        <v>1</v>
      </c>
      <c r="L32" s="83">
        <v>2</v>
      </c>
      <c r="M32" s="83">
        <v>13</v>
      </c>
    </row>
    <row r="33" spans="4:13" ht="18.75">
      <c r="D33" s="6" t="str">
        <f t="shared" si="0"/>
        <v>North Tyneside</v>
      </c>
      <c r="E33" s="6" t="str">
        <f t="shared" si="1"/>
        <v>Essex</v>
      </c>
      <c r="F33" s="74" t="str">
        <f t="shared" si="25"/>
        <v>North Tyneside v. Essex</v>
      </c>
      <c r="G33" s="75">
        <f t="shared" si="26"/>
        <v>2</v>
      </c>
      <c r="H33" s="76">
        <v>6</v>
      </c>
      <c r="I33" s="75" t="s">
        <v>47</v>
      </c>
      <c r="J33" s="77">
        <v>3</v>
      </c>
      <c r="L33" s="83">
        <v>8</v>
      </c>
      <c r="M33" s="83">
        <v>5</v>
      </c>
    </row>
    <row r="34" spans="4:13" ht="18.75">
      <c r="D34" s="6" t="str">
        <f t="shared" si="0"/>
        <v>Sunderland</v>
      </c>
      <c r="E34" s="6" t="str">
        <f t="shared" si="1"/>
        <v>Cambridgeshire</v>
      </c>
      <c r="F34" s="78" t="str">
        <f t="shared" si="25"/>
        <v>Sunderland v. Cambridgeshire</v>
      </c>
      <c r="G34" s="6">
        <f t="shared" si="26"/>
        <v>2</v>
      </c>
      <c r="H34" s="33">
        <v>10</v>
      </c>
      <c r="I34" s="6" t="s">
        <v>47</v>
      </c>
      <c r="J34" s="79">
        <v>1</v>
      </c>
      <c r="L34" s="83">
        <v>4</v>
      </c>
      <c r="M34" s="83">
        <v>9</v>
      </c>
    </row>
    <row r="35" spans="4:13" ht="18.75">
      <c r="D35" s="6" t="str">
        <f t="shared" si="0"/>
        <v>South Tyneside</v>
      </c>
      <c r="E35" s="6" t="str">
        <f t="shared" si="1"/>
        <v>Suffolk</v>
      </c>
      <c r="F35" s="78" t="str">
        <f t="shared" si="25"/>
        <v>South Tyneside v. Suffolk</v>
      </c>
      <c r="G35" s="6">
        <f t="shared" si="26"/>
        <v>2</v>
      </c>
      <c r="H35" s="33">
        <v>8</v>
      </c>
      <c r="I35" s="6" t="s">
        <v>47</v>
      </c>
      <c r="J35" s="79">
        <v>9</v>
      </c>
      <c r="L35" s="83">
        <v>3</v>
      </c>
      <c r="M35" s="83">
        <v>11</v>
      </c>
    </row>
    <row r="36" spans="4:13" ht="18.75">
      <c r="D36" s="6" t="str">
        <f t="shared" si="0"/>
        <v>Northumberland</v>
      </c>
      <c r="E36" s="6" t="str">
        <f t="shared" si="1"/>
        <v>Hertfordshire</v>
      </c>
      <c r="F36" s="78" t="str">
        <f t="shared" si="25"/>
        <v>Northumberland v. Hertfordshire</v>
      </c>
      <c r="G36" s="6">
        <f t="shared" si="26"/>
        <v>2</v>
      </c>
      <c r="H36" s="33">
        <v>7</v>
      </c>
      <c r="I36" s="6" t="s">
        <v>47</v>
      </c>
      <c r="J36" s="79">
        <v>4</v>
      </c>
      <c r="L36" s="83">
        <v>15</v>
      </c>
      <c r="M36" s="83">
        <v>3</v>
      </c>
    </row>
    <row r="37" spans="4:13" ht="18.75">
      <c r="D37" s="6" t="str">
        <f t="shared" si="0"/>
        <v>Durham</v>
      </c>
      <c r="E37" s="6" t="str">
        <f t="shared" si="1"/>
        <v>Norfolk</v>
      </c>
      <c r="F37" s="80" t="str">
        <f t="shared" si="25"/>
        <v>Durham v. Norfolk</v>
      </c>
      <c r="G37" s="47">
        <f t="shared" si="26"/>
        <v>2</v>
      </c>
      <c r="H37" s="81">
        <v>2</v>
      </c>
      <c r="I37" s="47" t="s">
        <v>47</v>
      </c>
      <c r="J37" s="82">
        <v>5</v>
      </c>
      <c r="L37" s="83">
        <v>10</v>
      </c>
      <c r="M37" s="83">
        <v>8</v>
      </c>
    </row>
    <row r="38" spans="1:13" ht="18.75">
      <c r="A38" s="33"/>
      <c r="B38" s="36"/>
      <c r="D38" s="6" t="str">
        <f t="shared" si="0"/>
        <v>Cambridgeshire</v>
      </c>
      <c r="E38" s="6" t="str">
        <f t="shared" si="1"/>
        <v>Essex</v>
      </c>
      <c r="F38" s="74" t="str">
        <f t="shared" si="25"/>
        <v>Cambridgeshire v. Essex</v>
      </c>
      <c r="G38" s="75">
        <f t="shared" si="26"/>
        <v>2</v>
      </c>
      <c r="H38" s="76">
        <v>1</v>
      </c>
      <c r="I38" s="75" t="s">
        <v>47</v>
      </c>
      <c r="J38" s="77">
        <v>3</v>
      </c>
      <c r="L38" s="83">
        <v>10</v>
      </c>
      <c r="M38" s="83">
        <v>5</v>
      </c>
    </row>
    <row r="39" spans="1:13" ht="18.75">
      <c r="A39" s="33"/>
      <c r="B39" s="36"/>
      <c r="D39" s="6" t="str">
        <f t="shared" si="0"/>
        <v>Suffolk</v>
      </c>
      <c r="E39" s="6" t="str">
        <f t="shared" si="1"/>
        <v>Hertfordshire</v>
      </c>
      <c r="F39" s="78" t="str">
        <f t="shared" si="25"/>
        <v>Suffolk v. Hertfordshire</v>
      </c>
      <c r="G39" s="6">
        <f t="shared" si="26"/>
        <v>2</v>
      </c>
      <c r="H39" s="33">
        <v>9</v>
      </c>
      <c r="I39" s="6" t="s">
        <v>47</v>
      </c>
      <c r="J39" s="79">
        <v>4</v>
      </c>
      <c r="L39" s="83">
        <v>12</v>
      </c>
      <c r="M39" s="83">
        <v>3</v>
      </c>
    </row>
    <row r="40" spans="1:13" ht="18.75">
      <c r="A40" s="33"/>
      <c r="B40" s="36"/>
      <c r="D40" s="6" t="str">
        <f t="shared" si="0"/>
        <v>North Tyneside</v>
      </c>
      <c r="E40" s="6" t="str">
        <f t="shared" si="1"/>
        <v>Sunderland</v>
      </c>
      <c r="F40" s="78" t="str">
        <f t="shared" si="25"/>
        <v>North Tyneside v. Sunderland</v>
      </c>
      <c r="G40" s="6">
        <f t="shared" si="26"/>
        <v>2</v>
      </c>
      <c r="H40" s="33">
        <v>6</v>
      </c>
      <c r="I40" s="6" t="s">
        <v>47</v>
      </c>
      <c r="J40" s="79">
        <v>10</v>
      </c>
      <c r="L40" s="83">
        <v>7</v>
      </c>
      <c r="M40" s="83">
        <v>6</v>
      </c>
    </row>
    <row r="41" spans="1:13" ht="18.75">
      <c r="A41" s="33"/>
      <c r="B41" s="36"/>
      <c r="D41" s="6" t="str">
        <f t="shared" si="0"/>
        <v>Northumberland</v>
      </c>
      <c r="E41" s="6" t="str">
        <f t="shared" si="1"/>
        <v>Norfolk</v>
      </c>
      <c r="F41" s="78" t="str">
        <f t="shared" si="25"/>
        <v>Northumberland v. Norfolk</v>
      </c>
      <c r="G41" s="6">
        <f t="shared" si="26"/>
        <v>2</v>
      </c>
      <c r="H41" s="33">
        <v>7</v>
      </c>
      <c r="I41" s="6" t="s">
        <v>47</v>
      </c>
      <c r="J41" s="79">
        <v>5</v>
      </c>
      <c r="L41" s="83">
        <v>7</v>
      </c>
      <c r="M41" s="83">
        <v>5</v>
      </c>
    </row>
    <row r="42" spans="1:13" ht="18.75">
      <c r="A42" s="33"/>
      <c r="B42" s="36"/>
      <c r="D42" s="6" t="str">
        <f t="shared" si="0"/>
        <v>South Tyneside</v>
      </c>
      <c r="E42" s="6" t="str">
        <f t="shared" si="1"/>
        <v>Durham</v>
      </c>
      <c r="F42" s="80" t="str">
        <f t="shared" si="25"/>
        <v>South Tyneside v. Durham</v>
      </c>
      <c r="G42" s="47">
        <f t="shared" si="26"/>
        <v>2</v>
      </c>
      <c r="H42" s="81">
        <v>8</v>
      </c>
      <c r="I42" s="47" t="s">
        <v>47</v>
      </c>
      <c r="J42" s="82">
        <v>2</v>
      </c>
      <c r="L42" s="83">
        <v>7</v>
      </c>
      <c r="M42" s="83">
        <v>6</v>
      </c>
    </row>
    <row r="43" spans="1:13" ht="18.75">
      <c r="A43" s="33"/>
      <c r="B43" s="36"/>
      <c r="D43" s="6" t="str">
        <f t="shared" si="0"/>
        <v>Hertfordshire</v>
      </c>
      <c r="E43" s="6" t="str">
        <f t="shared" si="1"/>
        <v>Norfolk</v>
      </c>
      <c r="F43" s="74" t="str">
        <f t="shared" si="25"/>
        <v>Hertfordshire v. Norfolk</v>
      </c>
      <c r="G43" s="75">
        <f t="shared" si="26"/>
        <v>2</v>
      </c>
      <c r="H43" s="76">
        <v>4</v>
      </c>
      <c r="I43" s="75" t="s">
        <v>47</v>
      </c>
      <c r="J43" s="77">
        <v>5</v>
      </c>
      <c r="L43" s="83">
        <v>6</v>
      </c>
      <c r="M43" s="83">
        <v>12</v>
      </c>
    </row>
    <row r="44" spans="1:13" ht="18.75">
      <c r="A44" s="33"/>
      <c r="B44" s="36"/>
      <c r="D44" s="6" t="str">
        <f t="shared" si="0"/>
        <v>North Tyneside</v>
      </c>
      <c r="E44" s="6" t="str">
        <f t="shared" si="1"/>
        <v>Northumberland</v>
      </c>
      <c r="F44" s="78" t="str">
        <f t="shared" si="25"/>
        <v>North Tyneside v. Northumberland</v>
      </c>
      <c r="G44" s="6">
        <f t="shared" si="26"/>
        <v>2</v>
      </c>
      <c r="H44" s="33">
        <v>6</v>
      </c>
      <c r="I44" s="6" t="s">
        <v>47</v>
      </c>
      <c r="J44" s="79">
        <v>7</v>
      </c>
      <c r="L44" s="83">
        <v>4</v>
      </c>
      <c r="M44" s="83">
        <v>15</v>
      </c>
    </row>
    <row r="45" spans="1:13" ht="18.75">
      <c r="A45" s="33"/>
      <c r="B45" s="36"/>
      <c r="D45" s="6" t="str">
        <f t="shared" si="0"/>
        <v>South Tyneside</v>
      </c>
      <c r="E45" s="6" t="str">
        <f t="shared" si="1"/>
        <v>Sunderland</v>
      </c>
      <c r="F45" s="78" t="str">
        <f t="shared" si="25"/>
        <v>South Tyneside v. Sunderland</v>
      </c>
      <c r="G45" s="6">
        <f t="shared" si="26"/>
        <v>2</v>
      </c>
      <c r="H45" s="33">
        <v>8</v>
      </c>
      <c r="I45" s="6" t="s">
        <v>47</v>
      </c>
      <c r="J45" s="79">
        <v>10</v>
      </c>
      <c r="L45" s="83">
        <v>6</v>
      </c>
      <c r="M45" s="83">
        <v>8</v>
      </c>
    </row>
    <row r="46" spans="1:13" ht="18.75">
      <c r="A46" s="33"/>
      <c r="B46" s="36"/>
      <c r="D46" s="6" t="str">
        <f t="shared" si="0"/>
        <v>Cambridgeshire</v>
      </c>
      <c r="E46" s="6" t="str">
        <f t="shared" si="1"/>
        <v>Durham</v>
      </c>
      <c r="F46" s="78" t="str">
        <f t="shared" si="25"/>
        <v>Cambridgeshire v. Durham</v>
      </c>
      <c r="G46" s="6">
        <f t="shared" si="26"/>
        <v>2</v>
      </c>
      <c r="H46" s="33">
        <v>1</v>
      </c>
      <c r="I46" s="6" t="s">
        <v>47</v>
      </c>
      <c r="J46" s="79">
        <v>2</v>
      </c>
      <c r="L46" s="83">
        <v>7</v>
      </c>
      <c r="M46" s="83">
        <v>6</v>
      </c>
    </row>
    <row r="47" spans="1:13" ht="18.75">
      <c r="A47" s="33"/>
      <c r="B47" s="36"/>
      <c r="D47" s="6" t="str">
        <f t="shared" si="0"/>
        <v>Essex</v>
      </c>
      <c r="E47" s="6" t="str">
        <f t="shared" si="1"/>
        <v>Suffolk</v>
      </c>
      <c r="F47" s="80" t="str">
        <f t="shared" si="25"/>
        <v>Essex v. Suffolk</v>
      </c>
      <c r="G47" s="47">
        <f t="shared" si="26"/>
        <v>2</v>
      </c>
      <c r="H47" s="81">
        <v>3</v>
      </c>
      <c r="I47" s="47" t="s">
        <v>47</v>
      </c>
      <c r="J47" s="82">
        <v>9</v>
      </c>
      <c r="L47" s="83">
        <v>2</v>
      </c>
      <c r="M47" s="83">
        <v>12</v>
      </c>
    </row>
    <row r="48" spans="4:13" ht="18.75">
      <c r="D48" s="6" t="str">
        <f t="shared" si="0"/>
        <v>Northumberland</v>
      </c>
      <c r="E48" s="6" t="str">
        <f t="shared" si="1"/>
        <v>South Tyneside</v>
      </c>
      <c r="F48" s="74" t="str">
        <f t="shared" si="25"/>
        <v>Northumberland v. South Tyneside</v>
      </c>
      <c r="G48" s="75">
        <f t="shared" si="26"/>
        <v>2</v>
      </c>
      <c r="H48" s="76">
        <v>7</v>
      </c>
      <c r="I48" s="75" t="s">
        <v>47</v>
      </c>
      <c r="J48" s="77">
        <v>8</v>
      </c>
      <c r="L48" s="83">
        <v>14</v>
      </c>
      <c r="M48" s="83">
        <v>7</v>
      </c>
    </row>
    <row r="49" spans="4:13" ht="18.75">
      <c r="D49" s="6" t="str">
        <f t="shared" si="0"/>
        <v>Durham</v>
      </c>
      <c r="E49" s="6" t="str">
        <f t="shared" si="1"/>
        <v>Essex</v>
      </c>
      <c r="F49" s="78" t="str">
        <f t="shared" si="25"/>
        <v>Durham v. Essex</v>
      </c>
      <c r="G49" s="6">
        <f t="shared" si="26"/>
        <v>2</v>
      </c>
      <c r="H49" s="33">
        <v>2</v>
      </c>
      <c r="I49" s="6" t="s">
        <v>47</v>
      </c>
      <c r="J49" s="79">
        <v>3</v>
      </c>
      <c r="L49" s="83">
        <v>12</v>
      </c>
      <c r="M49" s="83">
        <v>6</v>
      </c>
    </row>
    <row r="50" spans="4:13" ht="18.75">
      <c r="D50" s="6" t="str">
        <f t="shared" si="0"/>
        <v>North Tyneside</v>
      </c>
      <c r="E50" s="6" t="str">
        <f t="shared" si="1"/>
        <v>Suffolk</v>
      </c>
      <c r="F50" s="78" t="str">
        <f t="shared" si="25"/>
        <v>North Tyneside v. Suffolk</v>
      </c>
      <c r="G50" s="6">
        <f t="shared" si="26"/>
        <v>2</v>
      </c>
      <c r="H50" s="33">
        <v>6</v>
      </c>
      <c r="I50" s="6" t="s">
        <v>47</v>
      </c>
      <c r="J50" s="79">
        <v>9</v>
      </c>
      <c r="L50" s="83">
        <v>3</v>
      </c>
      <c r="M50" s="83">
        <v>9</v>
      </c>
    </row>
    <row r="51" spans="4:13" ht="18.75">
      <c r="D51" s="6" t="str">
        <f t="shared" si="0"/>
        <v>Sunderland</v>
      </c>
      <c r="E51" s="6" t="str">
        <f t="shared" si="1"/>
        <v>Norfolk</v>
      </c>
      <c r="F51" s="78" t="str">
        <f t="shared" si="25"/>
        <v>Sunderland v. Norfolk</v>
      </c>
      <c r="G51" s="6">
        <f t="shared" si="26"/>
        <v>2</v>
      </c>
      <c r="H51" s="33">
        <v>10</v>
      </c>
      <c r="I51" s="6" t="s">
        <v>47</v>
      </c>
      <c r="J51" s="79">
        <v>5</v>
      </c>
      <c r="L51" s="83">
        <v>4</v>
      </c>
      <c r="M51" s="83">
        <v>9</v>
      </c>
    </row>
    <row r="52" spans="4:13" ht="18.75">
      <c r="D52" s="6" t="str">
        <f t="shared" si="0"/>
        <v>Cambridgeshire</v>
      </c>
      <c r="E52" s="6" t="str">
        <f t="shared" si="1"/>
        <v>Hertfordshire</v>
      </c>
      <c r="F52" s="80" t="str">
        <f t="shared" si="25"/>
        <v>Cambridgeshire v. Hertfordshire</v>
      </c>
      <c r="G52" s="47">
        <f t="shared" si="26"/>
        <v>2</v>
      </c>
      <c r="H52" s="81">
        <v>1</v>
      </c>
      <c r="I52" s="47" t="s">
        <v>47</v>
      </c>
      <c r="J52" s="82">
        <v>4</v>
      </c>
      <c r="L52" s="83">
        <v>13</v>
      </c>
      <c r="M52" s="83">
        <v>4</v>
      </c>
    </row>
    <row r="53" spans="4:6" ht="18.75">
      <c r="D53" s="6"/>
      <c r="E53" s="6"/>
      <c r="F53" s="6"/>
    </row>
  </sheetData>
  <sheetProtection sheet="1" selectLockedCells="1"/>
  <mergeCells count="14">
    <mergeCell ref="CL2:CS4"/>
    <mergeCell ref="F3:M3"/>
    <mergeCell ref="AY6:AZ6"/>
    <mergeCell ref="BD6:BG6"/>
    <mergeCell ref="CL6:CS6"/>
    <mergeCell ref="AA6:AC6"/>
    <mergeCell ref="A2:B4"/>
    <mergeCell ref="F2:M2"/>
    <mergeCell ref="S6:U6"/>
    <mergeCell ref="W6:Y6"/>
    <mergeCell ref="L7:M7"/>
    <mergeCell ref="O6:Q6"/>
    <mergeCell ref="A6:B6"/>
    <mergeCell ref="F6:M6"/>
  </mergeCells>
  <conditionalFormatting sqref="CK21:CP22">
    <cfRule type="expression" priority="11" dxfId="3" stopIfTrue="1">
      <formula>IF($CL21:$CL63=0,1,0)</formula>
    </cfRule>
  </conditionalFormatting>
  <conditionalFormatting sqref="CU21:CU22">
    <cfRule type="expression" priority="10" dxfId="3" stopIfTrue="1">
      <formula>IF($CU21:$CU63=0,1,0)</formula>
    </cfRule>
  </conditionalFormatting>
  <conditionalFormatting sqref="CU8:CU17">
    <cfRule type="expression" priority="9" dxfId="3" stopIfTrue="1">
      <formula>IF($CU8:$CU17=0,1,0)</formula>
    </cfRule>
  </conditionalFormatting>
  <conditionalFormatting sqref="L8:M52">
    <cfRule type="expression" priority="8" dxfId="2" stopIfTrue="1">
      <formula>IF($E8:$E52=blankcell,1,0)</formula>
    </cfRule>
  </conditionalFormatting>
  <conditionalFormatting sqref="CK8:CP12 CK13:CK18">
    <cfRule type="expression" priority="7" dxfId="3" stopIfTrue="1">
      <formula>IF($CL8:$CL17=0,1,0)</formula>
    </cfRule>
  </conditionalFormatting>
  <conditionalFormatting sqref="CK19:CP20">
    <cfRule type="expression" priority="6" dxfId="3" stopIfTrue="1">
      <formula>IF($CL19:$CL62=0,1,0)</formula>
    </cfRule>
  </conditionalFormatting>
  <conditionalFormatting sqref="CU19:CU20">
    <cfRule type="expression" priority="5" dxfId="3" stopIfTrue="1">
      <formula>IF($CU19:$CU62=0,1,0)</formula>
    </cfRule>
  </conditionalFormatting>
  <conditionalFormatting sqref="H8:J52">
    <cfRule type="expression" priority="4" dxfId="3" stopIfTrue="1">
      <formula>$G8:$G22=1</formula>
    </cfRule>
  </conditionalFormatting>
  <conditionalFormatting sqref="F7:F53 F5 F2:F3">
    <cfRule type="containsText" priority="3" dxfId="3" operator="containsText" stopIfTrue="1" text="0">
      <formula>NOT(ISERROR(SEARCH("0",F2)))</formula>
    </cfRule>
  </conditionalFormatting>
  <conditionalFormatting sqref="B8:B17">
    <cfRule type="containsText" priority="2" dxfId="2" operator="containsText" stopIfTrue="1" text="0">
      <formula>NOT(ISERROR(SEARCH("0",B8)))</formula>
    </cfRule>
  </conditionalFormatting>
  <conditionalFormatting sqref="CS8:CS22">
    <cfRule type="duplicateValues" priority="1" dxfId="1" stopIfTrue="1">
      <formula>AND(COUNTIF($CS$8:$CS$22,CS8)&gt;1,NOT(ISBLANK(CS8)))</formula>
    </cfRule>
  </conditionalFormatting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53"/>
  <sheetViews>
    <sheetView zoomScalePageLayoutView="0" workbookViewId="0" topLeftCell="CL1">
      <selection activeCell="M50" sqref="M50"/>
    </sheetView>
  </sheetViews>
  <sheetFormatPr defaultColWidth="9.140625" defaultRowHeight="15"/>
  <cols>
    <col min="1" max="1" width="5.7109375" style="1" customWidth="1"/>
    <col min="2" max="2" width="20.7109375" style="1" customWidth="1"/>
    <col min="3" max="3" width="2.7109375" style="1" customWidth="1"/>
    <col min="4" max="5" width="18.00390625" style="1" hidden="1" customWidth="1"/>
    <col min="6" max="6" width="40.7109375" style="1" customWidth="1"/>
    <col min="7" max="7" width="2.8515625" style="1" hidden="1" customWidth="1"/>
    <col min="8" max="8" width="4.7109375" style="2" customWidth="1"/>
    <col min="9" max="9" width="2.7109375" style="2" customWidth="1"/>
    <col min="10" max="10" width="4.7109375" style="2" customWidth="1"/>
    <col min="11" max="11" width="2.7109375" style="1" customWidth="1"/>
    <col min="12" max="13" width="5.7109375" style="1" customWidth="1"/>
    <col min="14" max="14" width="2.7109375" style="1" customWidth="1"/>
    <col min="15" max="15" width="4.421875" style="1" hidden="1" customWidth="1"/>
    <col min="16" max="17" width="2.8515625" style="1" hidden="1" customWidth="1"/>
    <col min="18" max="19" width="4.421875" style="1" hidden="1" customWidth="1"/>
    <col min="20" max="21" width="2.8515625" style="1" hidden="1" customWidth="1"/>
    <col min="22" max="23" width="4.421875" style="1" hidden="1" customWidth="1"/>
    <col min="24" max="25" width="2.8515625" style="1" hidden="1" customWidth="1"/>
    <col min="26" max="27" width="4.421875" style="1" hidden="1" customWidth="1"/>
    <col min="28" max="29" width="2.8515625" style="1" hidden="1" customWidth="1"/>
    <col min="30" max="31" width="4.421875" style="1" hidden="1" customWidth="1"/>
    <col min="32" max="33" width="2.8515625" style="1" hidden="1" customWidth="1"/>
    <col min="34" max="39" width="4.421875" style="1" hidden="1" customWidth="1"/>
    <col min="40" max="41" width="2.8515625" style="1" hidden="1" customWidth="1"/>
    <col min="42" max="42" width="4.421875" style="1" hidden="1" customWidth="1"/>
    <col min="43" max="43" width="2.8515625" style="1" hidden="1" customWidth="1"/>
    <col min="44" max="45" width="4.421875" style="1" hidden="1" customWidth="1"/>
    <col min="46" max="46" width="2.8515625" style="1" hidden="1" customWidth="1"/>
    <col min="47" max="47" width="4.421875" style="1" hidden="1" customWidth="1"/>
    <col min="48" max="49" width="2.8515625" style="1" hidden="1" customWidth="1"/>
    <col min="50" max="50" width="4.421875" style="1" hidden="1" customWidth="1"/>
    <col min="51" max="51" width="6.00390625" style="1" hidden="1" customWidth="1"/>
    <col min="52" max="52" width="11.28125" style="1" hidden="1" customWidth="1"/>
    <col min="53" max="55" width="2.7109375" style="1" hidden="1" customWidth="1"/>
    <col min="56" max="64" width="11.28125" style="1" hidden="1" customWidth="1"/>
    <col min="65" max="65" width="8.00390625" style="1" hidden="1" customWidth="1"/>
    <col min="66" max="67" width="2.7109375" style="1" hidden="1" customWidth="1"/>
    <col min="68" max="76" width="11.28125" style="1" hidden="1" customWidth="1"/>
    <col min="77" max="77" width="2.7109375" style="1" hidden="1" customWidth="1"/>
    <col min="78" max="78" width="2.8515625" style="1" hidden="1" customWidth="1"/>
    <col min="79" max="79" width="15.57421875" style="1" hidden="1" customWidth="1"/>
    <col min="80" max="80" width="4.421875" style="1" hidden="1" customWidth="1"/>
    <col min="81" max="81" width="18.00390625" style="1" hidden="1" customWidth="1"/>
    <col min="82" max="82" width="5.57421875" style="1" hidden="1" customWidth="1"/>
    <col min="83" max="83" width="6.00390625" style="1" hidden="1" customWidth="1"/>
    <col min="84" max="84" width="4.421875" style="1" hidden="1" customWidth="1"/>
    <col min="85" max="85" width="3.28125" style="1" hidden="1" customWidth="1"/>
    <col min="86" max="86" width="4.421875" style="1" hidden="1" customWidth="1"/>
    <col min="87" max="87" width="5.57421875" style="1" hidden="1" customWidth="1"/>
    <col min="88" max="88" width="4.421875" style="1" hidden="1" customWidth="1"/>
    <col min="89" max="89" width="4.8515625" style="1" hidden="1" customWidth="1"/>
    <col min="90" max="90" width="20.7109375" style="1" customWidth="1"/>
    <col min="91" max="94" width="5.7109375" style="1" customWidth="1"/>
    <col min="95" max="95" width="2.7109375" style="1" customWidth="1"/>
    <col min="96" max="96" width="15.57421875" style="1" hidden="1" customWidth="1"/>
    <col min="97" max="97" width="7.7109375" style="1" customWidth="1"/>
    <col min="98" max="98" width="9.140625" style="1" customWidth="1"/>
    <col min="99" max="99" width="18.00390625" style="1" bestFit="1" customWidth="1"/>
    <col min="100" max="100" width="5.28125" style="1" bestFit="1" customWidth="1"/>
    <col min="101" max="101" width="7.8515625" style="1" bestFit="1" customWidth="1"/>
    <col min="102" max="102" width="5.28125" style="1" bestFit="1" customWidth="1"/>
    <col min="103" max="103" width="8.140625" style="1" bestFit="1" customWidth="1"/>
    <col min="104" max="104" width="5.28125" style="1" bestFit="1" customWidth="1"/>
    <col min="105" max="16384" width="9.140625" style="1" customWidth="1"/>
  </cols>
  <sheetData>
    <row r="1" spans="4:96" ht="18.75">
      <c r="D1" s="1" t="s">
        <v>0</v>
      </c>
      <c r="E1" s="1" t="s">
        <v>0</v>
      </c>
      <c r="G1" s="1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  <c r="Y1" s="3" t="s">
        <v>0</v>
      </c>
      <c r="Z1" s="3" t="s">
        <v>0</v>
      </c>
      <c r="AA1" s="3" t="s">
        <v>0</v>
      </c>
      <c r="AB1" s="3" t="s">
        <v>0</v>
      </c>
      <c r="AC1" s="3" t="s">
        <v>0</v>
      </c>
      <c r="AD1" s="3" t="s">
        <v>0</v>
      </c>
      <c r="AE1" s="3" t="s">
        <v>0</v>
      </c>
      <c r="AF1" s="3" t="s">
        <v>0</v>
      </c>
      <c r="AG1" s="3" t="s">
        <v>0</v>
      </c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 t="s">
        <v>0</v>
      </c>
      <c r="AQ1" s="3" t="s">
        <v>0</v>
      </c>
      <c r="AR1" s="3" t="s">
        <v>0</v>
      </c>
      <c r="AS1" s="3" t="s">
        <v>0</v>
      </c>
      <c r="AT1" s="3" t="s">
        <v>0</v>
      </c>
      <c r="AU1" s="3" t="s">
        <v>0</v>
      </c>
      <c r="AV1" s="3" t="s">
        <v>0</v>
      </c>
      <c r="AW1" s="3" t="s">
        <v>0</v>
      </c>
      <c r="AX1" s="3" t="s">
        <v>0</v>
      </c>
      <c r="AY1" s="3" t="s">
        <v>0</v>
      </c>
      <c r="AZ1" s="3" t="s">
        <v>0</v>
      </c>
      <c r="BA1" s="3" t="s">
        <v>0</v>
      </c>
      <c r="BB1" s="3" t="s">
        <v>0</v>
      </c>
      <c r="BC1" s="3" t="s">
        <v>0</v>
      </c>
      <c r="BD1" s="3" t="s">
        <v>0</v>
      </c>
      <c r="BE1" s="3" t="s">
        <v>0</v>
      </c>
      <c r="BF1" s="3" t="s">
        <v>0</v>
      </c>
      <c r="BG1" s="3" t="s">
        <v>0</v>
      </c>
      <c r="BH1" s="3" t="s">
        <v>0</v>
      </c>
      <c r="BI1" s="3" t="s">
        <v>0</v>
      </c>
      <c r="BJ1" s="3" t="s">
        <v>0</v>
      </c>
      <c r="BK1" s="3" t="s">
        <v>0</v>
      </c>
      <c r="BL1" s="3" t="s">
        <v>0</v>
      </c>
      <c r="BM1" s="3" t="s">
        <v>0</v>
      </c>
      <c r="BN1" s="4" t="s">
        <v>0</v>
      </c>
      <c r="BO1" s="4" t="s">
        <v>0</v>
      </c>
      <c r="BP1" s="4" t="s">
        <v>0</v>
      </c>
      <c r="BQ1" s="4" t="s">
        <v>0</v>
      </c>
      <c r="BR1" s="4" t="s">
        <v>0</v>
      </c>
      <c r="BS1" s="4" t="s">
        <v>0</v>
      </c>
      <c r="BT1" s="4" t="s">
        <v>0</v>
      </c>
      <c r="BU1" s="4" t="s">
        <v>0</v>
      </c>
      <c r="BV1" s="4" t="s">
        <v>0</v>
      </c>
      <c r="BW1" s="4" t="s">
        <v>0</v>
      </c>
      <c r="BX1" s="4" t="s">
        <v>0</v>
      </c>
      <c r="BY1" s="4" t="s">
        <v>0</v>
      </c>
      <c r="BZ1" s="4" t="s">
        <v>0</v>
      </c>
      <c r="CA1" s="4" t="s">
        <v>0</v>
      </c>
      <c r="CB1" s="4" t="s">
        <v>0</v>
      </c>
      <c r="CC1" s="4" t="s">
        <v>0</v>
      </c>
      <c r="CD1" s="4" t="s">
        <v>0</v>
      </c>
      <c r="CE1" s="4" t="s">
        <v>0</v>
      </c>
      <c r="CF1" s="4" t="s">
        <v>0</v>
      </c>
      <c r="CG1" s="4" t="s">
        <v>0</v>
      </c>
      <c r="CH1" s="4" t="s">
        <v>0</v>
      </c>
      <c r="CI1" s="4" t="s">
        <v>0</v>
      </c>
      <c r="CJ1" s="4" t="s">
        <v>0</v>
      </c>
      <c r="CK1" s="5" t="s">
        <v>0</v>
      </c>
      <c r="CR1" s="1" t="s">
        <v>0</v>
      </c>
    </row>
    <row r="2" spans="1:104" s="4" customFormat="1" ht="18.75">
      <c r="A2" s="132" t="s">
        <v>58</v>
      </c>
      <c r="B2" s="133"/>
      <c r="F2" s="119" t="s">
        <v>2</v>
      </c>
      <c r="G2" s="120"/>
      <c r="H2" s="120"/>
      <c r="I2" s="120"/>
      <c r="J2" s="120"/>
      <c r="K2" s="120"/>
      <c r="L2" s="120"/>
      <c r="M2" s="120"/>
      <c r="CL2" s="130" t="str">
        <f>singles!CL2</f>
        <v>Saturday 11th and  Sunday 12th June 2011 at The Norbreck Castle Hotel, Blackpool</v>
      </c>
      <c r="CM2" s="107"/>
      <c r="CN2" s="107"/>
      <c r="CO2" s="107"/>
      <c r="CP2" s="107"/>
      <c r="CQ2" s="107"/>
      <c r="CR2" s="107"/>
      <c r="CS2" s="107"/>
      <c r="CV2" s="4" t="s">
        <v>3</v>
      </c>
      <c r="CX2" s="4" t="s">
        <v>3</v>
      </c>
      <c r="CZ2" s="4" t="s">
        <v>3</v>
      </c>
    </row>
    <row r="3" spans="1:97" s="4" customFormat="1" ht="18.75">
      <c r="A3" s="132"/>
      <c r="B3" s="133"/>
      <c r="F3" s="119" t="s">
        <v>4</v>
      </c>
      <c r="G3" s="120"/>
      <c r="H3" s="120"/>
      <c r="I3" s="120"/>
      <c r="J3" s="120"/>
      <c r="K3" s="120"/>
      <c r="L3" s="120"/>
      <c r="M3" s="120"/>
      <c r="CL3" s="130"/>
      <c r="CM3" s="107"/>
      <c r="CN3" s="107"/>
      <c r="CO3" s="107"/>
      <c r="CP3" s="107"/>
      <c r="CQ3" s="107"/>
      <c r="CR3" s="107"/>
      <c r="CS3" s="107"/>
    </row>
    <row r="4" spans="1:104" s="4" customFormat="1" ht="18">
      <c r="A4" s="133"/>
      <c r="B4" s="13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Z4" s="6"/>
      <c r="CK4" s="5"/>
      <c r="CL4" s="107"/>
      <c r="CM4" s="107"/>
      <c r="CN4" s="107"/>
      <c r="CO4" s="107"/>
      <c r="CP4" s="107"/>
      <c r="CQ4" s="107"/>
      <c r="CR4" s="107"/>
      <c r="CS4" s="107"/>
      <c r="CU4" s="7" t="s">
        <v>5</v>
      </c>
      <c r="CV4" s="7">
        <v>2</v>
      </c>
      <c r="CW4" s="7" t="s">
        <v>6</v>
      </c>
      <c r="CX4" s="7">
        <v>0</v>
      </c>
      <c r="CY4" s="7" t="s">
        <v>7</v>
      </c>
      <c r="CZ4" s="7">
        <v>1</v>
      </c>
    </row>
    <row r="5" spans="1:104" s="10" customFormat="1" ht="19.5" thickBot="1">
      <c r="A5" s="8"/>
      <c r="B5" s="9"/>
      <c r="F5" s="11"/>
      <c r="H5" s="12"/>
      <c r="I5" s="12"/>
      <c r="J5" s="1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Z5" s="12"/>
      <c r="CK5" s="13"/>
      <c r="CL5" s="14"/>
      <c r="CM5" s="15"/>
      <c r="CN5" s="15"/>
      <c r="CO5" s="15"/>
      <c r="CP5" s="15"/>
      <c r="CQ5" s="15"/>
      <c r="CR5" s="15"/>
      <c r="CS5" s="15"/>
      <c r="CU5" s="16"/>
      <c r="CV5" s="16"/>
      <c r="CW5" s="16"/>
      <c r="CX5" s="16"/>
      <c r="CY5" s="16"/>
      <c r="CZ5" s="16"/>
    </row>
    <row r="6" spans="1:97" s="17" customFormat="1" ht="19.5" thickBot="1">
      <c r="A6" s="112" t="s">
        <v>8</v>
      </c>
      <c r="B6" s="113"/>
      <c r="F6" s="114" t="s">
        <v>9</v>
      </c>
      <c r="G6" s="115"/>
      <c r="H6" s="115"/>
      <c r="I6" s="115"/>
      <c r="J6" s="115"/>
      <c r="K6" s="115"/>
      <c r="L6" s="115"/>
      <c r="M6" s="116"/>
      <c r="O6" s="110"/>
      <c r="P6" s="110"/>
      <c r="Q6" s="111"/>
      <c r="R6" s="18"/>
      <c r="S6" s="110"/>
      <c r="T6" s="110"/>
      <c r="U6" s="111"/>
      <c r="V6" s="18"/>
      <c r="W6" s="110"/>
      <c r="X6" s="110"/>
      <c r="Y6" s="111"/>
      <c r="Z6" s="18"/>
      <c r="AA6" s="110"/>
      <c r="AB6" s="110"/>
      <c r="AC6" s="111"/>
      <c r="AD6" s="18"/>
      <c r="AY6" s="123" t="s">
        <v>10</v>
      </c>
      <c r="AZ6" s="123"/>
      <c r="BD6" s="123" t="s">
        <v>11</v>
      </c>
      <c r="BE6" s="123"/>
      <c r="BF6" s="123"/>
      <c r="BG6" s="124"/>
      <c r="BH6" s="19"/>
      <c r="BI6" s="19"/>
      <c r="BJ6" s="19"/>
      <c r="BK6" s="19"/>
      <c r="BL6" s="19"/>
      <c r="BM6" s="20"/>
      <c r="BN6" s="19"/>
      <c r="BO6" s="19"/>
      <c r="BP6" s="21" t="s">
        <v>10</v>
      </c>
      <c r="BQ6" s="22"/>
      <c r="BR6" s="22"/>
      <c r="BS6" s="23"/>
      <c r="BT6" s="23"/>
      <c r="BU6" s="23"/>
      <c r="BV6" s="23"/>
      <c r="BW6" s="23"/>
      <c r="BX6" s="23"/>
      <c r="BY6" s="23"/>
      <c r="CK6" s="24"/>
      <c r="CL6" s="125" t="s">
        <v>12</v>
      </c>
      <c r="CM6" s="126"/>
      <c r="CN6" s="126"/>
      <c r="CO6" s="126"/>
      <c r="CP6" s="126"/>
      <c r="CQ6" s="126"/>
      <c r="CR6" s="126"/>
      <c r="CS6" s="127"/>
    </row>
    <row r="7" spans="1:100" s="17" customFormat="1" ht="18.75" thickBot="1">
      <c r="A7" s="25" t="s">
        <v>13</v>
      </c>
      <c r="B7" s="26" t="s">
        <v>14</v>
      </c>
      <c r="D7" s="17" t="s">
        <v>15</v>
      </c>
      <c r="E7" s="17" t="s">
        <v>16</v>
      </c>
      <c r="F7" s="27"/>
      <c r="L7" s="109" t="s">
        <v>17</v>
      </c>
      <c r="M7" s="109"/>
      <c r="O7" s="28" t="s">
        <v>18</v>
      </c>
      <c r="P7" s="28"/>
      <c r="Q7" s="28"/>
      <c r="R7" s="28"/>
      <c r="S7" s="28" t="s">
        <v>19</v>
      </c>
      <c r="T7" s="28"/>
      <c r="U7" s="28"/>
      <c r="V7" s="28"/>
      <c r="W7" s="28" t="s">
        <v>20</v>
      </c>
      <c r="X7" s="28"/>
      <c r="Y7" s="28"/>
      <c r="Z7" s="28"/>
      <c r="AA7" s="28" t="s">
        <v>21</v>
      </c>
      <c r="AB7" s="28"/>
      <c r="AC7" s="28"/>
      <c r="AD7" s="28"/>
      <c r="AE7" s="28" t="s">
        <v>22</v>
      </c>
      <c r="AF7" s="28"/>
      <c r="AG7" s="28"/>
      <c r="AH7" s="28"/>
      <c r="AI7" s="28" t="s">
        <v>23</v>
      </c>
      <c r="AJ7" s="28"/>
      <c r="AK7" s="28"/>
      <c r="AL7" s="28"/>
      <c r="AM7" s="28" t="s">
        <v>24</v>
      </c>
      <c r="AN7" s="28"/>
      <c r="AO7" s="28"/>
      <c r="AP7" s="28"/>
      <c r="AQ7" s="28" t="s">
        <v>25</v>
      </c>
      <c r="AR7" s="28"/>
      <c r="AS7" s="28"/>
      <c r="AT7" s="28"/>
      <c r="AU7" s="28" t="s">
        <v>26</v>
      </c>
      <c r="AV7" s="28"/>
      <c r="AW7" s="28"/>
      <c r="AY7" s="17" t="s">
        <v>27</v>
      </c>
      <c r="AZ7" s="17" t="s">
        <v>28</v>
      </c>
      <c r="BD7" s="17" t="s">
        <v>29</v>
      </c>
      <c r="BE7" s="17" t="s">
        <v>30</v>
      </c>
      <c r="BF7" s="17" t="s">
        <v>31</v>
      </c>
      <c r="BG7" s="17" t="s">
        <v>32</v>
      </c>
      <c r="BH7" s="17" t="s">
        <v>33</v>
      </c>
      <c r="BI7" s="17" t="s">
        <v>34</v>
      </c>
      <c r="BJ7" s="17" t="s">
        <v>35</v>
      </c>
      <c r="BK7" s="17" t="s">
        <v>36</v>
      </c>
      <c r="BL7" s="17" t="s">
        <v>37</v>
      </c>
      <c r="BM7" s="20" t="s">
        <v>38</v>
      </c>
      <c r="BP7" s="17" t="s">
        <v>29</v>
      </c>
      <c r="BQ7" s="17" t="s">
        <v>30</v>
      </c>
      <c r="BR7" s="17" t="s">
        <v>31</v>
      </c>
      <c r="BS7" s="17" t="s">
        <v>32</v>
      </c>
      <c r="BT7" s="17" t="s">
        <v>33</v>
      </c>
      <c r="BU7" s="17" t="s">
        <v>34</v>
      </c>
      <c r="BV7" s="17" t="s">
        <v>35</v>
      </c>
      <c r="BW7" s="17" t="s">
        <v>36</v>
      </c>
      <c r="BX7" s="17" t="s">
        <v>37</v>
      </c>
      <c r="CD7" s="17" t="s">
        <v>3</v>
      </c>
      <c r="CE7" s="17" t="s">
        <v>39</v>
      </c>
      <c r="CF7" s="17" t="s">
        <v>40</v>
      </c>
      <c r="CG7" s="17" t="s">
        <v>41</v>
      </c>
      <c r="CI7" s="17" t="s">
        <v>42</v>
      </c>
      <c r="CK7" s="24" t="s">
        <v>43</v>
      </c>
      <c r="CL7" s="29"/>
      <c r="CM7" s="17" t="s">
        <v>42</v>
      </c>
      <c r="CN7" s="17" t="s">
        <v>3</v>
      </c>
      <c r="CO7" s="17" t="s">
        <v>27</v>
      </c>
      <c r="CP7" s="17" t="s">
        <v>44</v>
      </c>
      <c r="CS7" s="30" t="s">
        <v>45</v>
      </c>
      <c r="CU7" s="100" t="s">
        <v>46</v>
      </c>
      <c r="CV7" s="101"/>
    </row>
    <row r="8" spans="1:100" s="6" customFormat="1" ht="18.75">
      <c r="A8" s="31">
        <v>1</v>
      </c>
      <c r="B8" s="32" t="s">
        <v>74</v>
      </c>
      <c r="D8" s="6" t="str">
        <f aca="true" t="shared" si="0" ref="D8:D52">LOOKUP(H8,ssnums,ssteams)</f>
        <v>Hertfordshire</v>
      </c>
      <c r="E8" s="6" t="str">
        <f aca="true" t="shared" si="1" ref="E8:E52">LOOKUP(J8,ssnums,ssteams)</f>
        <v>North Tyneside</v>
      </c>
      <c r="F8" s="74" t="str">
        <f>CONCATENATE(D8," v. ",E8)</f>
        <v>Hertfordshire v. North Tyneside</v>
      </c>
      <c r="G8" s="75">
        <f>IF(ISNUMBER(SEARCH("0",F8)),1,2)</f>
        <v>2</v>
      </c>
      <c r="H8" s="76">
        <v>4</v>
      </c>
      <c r="I8" s="75" t="s">
        <v>47</v>
      </c>
      <c r="J8" s="77">
        <v>6</v>
      </c>
      <c r="K8" s="33"/>
      <c r="L8" s="83">
        <v>13</v>
      </c>
      <c r="M8" s="83">
        <v>5</v>
      </c>
      <c r="N8" s="34"/>
      <c r="O8" s="35">
        <f>SUMIF(ssg1.1,teama1,ssr1.1)</f>
        <v>0</v>
      </c>
      <c r="P8" s="35">
        <f>SUMIF(ssg1.2,teama1,ssr1.2)</f>
        <v>2</v>
      </c>
      <c r="Q8" s="35">
        <f>SUMIF(ssg1.1,teama1,ssr1.2)</f>
        <v>0</v>
      </c>
      <c r="R8" s="35">
        <f>SUMIF(ssg1.2,teama1,ssr1.1)</f>
        <v>10</v>
      </c>
      <c r="S8" s="35">
        <f>SUMIF(ssg2.1,teama1,ssr2.1)</f>
        <v>11</v>
      </c>
      <c r="T8" s="35">
        <f>SUMIF(ssg2.2,teama1,ssr2.2)</f>
        <v>0</v>
      </c>
      <c r="U8" s="35">
        <f>SUMIF(ssg2.1,teama1,ssr2.2)</f>
        <v>13</v>
      </c>
      <c r="V8" s="35">
        <f>SUMIF(ssg2.2,teama1,ssr2.1)</f>
        <v>0</v>
      </c>
      <c r="W8" s="35">
        <f>SUMIF(ssg3.1,teama1,ssr3.1)</f>
        <v>13</v>
      </c>
      <c r="X8" s="35">
        <f>SUMIF(ssg3.2,teama1,ssr3.2)</f>
        <v>0</v>
      </c>
      <c r="Y8" s="35">
        <f>SUMIF(ssg3.1,teama1,ssr3.2)</f>
        <v>3</v>
      </c>
      <c r="Z8" s="35">
        <f>SUMIF(ssg3.2,teama1,ssr3.1)</f>
        <v>0</v>
      </c>
      <c r="AA8" s="35">
        <f>SUMIF(ssg4.1,teama1,ssr4.1)</f>
        <v>12</v>
      </c>
      <c r="AB8" s="35">
        <f>SUMIF(ssg4.2,teama1,ssr4.2)</f>
        <v>0</v>
      </c>
      <c r="AC8" s="35">
        <f>SUMIF(ssg4.1,teama1,ssr4.2)</f>
        <v>4</v>
      </c>
      <c r="AD8" s="35">
        <f>SUMIF(ssg4.2,teama1,ssr4.1)</f>
        <v>0</v>
      </c>
      <c r="AE8" s="35">
        <f>SUMIF(ssg5.1,teama1,ssr5.1)</f>
        <v>8</v>
      </c>
      <c r="AF8" s="35">
        <f>SUMIF(ssg5.2,teama1,ssr5.2)</f>
        <v>0</v>
      </c>
      <c r="AG8" s="35">
        <f>SUMIF(ssg5.1,teama1,ssr5.2)</f>
        <v>7</v>
      </c>
      <c r="AH8" s="35">
        <f>SUMIF(ssg5.2,teama1,ssr5.1)</f>
        <v>0</v>
      </c>
      <c r="AI8" s="35">
        <f>SUMIF(ssg6.1,teama1,ssr6.1)</f>
        <v>9</v>
      </c>
      <c r="AJ8" s="35">
        <f>SUMIF(ssg6.2,teama1,ssr6.2)</f>
        <v>0</v>
      </c>
      <c r="AK8" s="35">
        <f>SUMIF(ssg6.1,teama1,ssr6.2)</f>
        <v>5</v>
      </c>
      <c r="AL8" s="35">
        <f>SUMIF(ssg6.2,teama1,ssr6.1)</f>
        <v>0</v>
      </c>
      <c r="AM8" s="35">
        <f>SUMIF(ssg7.1,teama1,ssr7.1)</f>
        <v>17</v>
      </c>
      <c r="AN8" s="35">
        <f>SUMIF(ssg7.2,teama1,ssr7.2)</f>
        <v>0</v>
      </c>
      <c r="AO8" s="35">
        <f>SUMIF(ssg7.1,teama1,ssr7.2)</f>
        <v>6</v>
      </c>
      <c r="AP8" s="35">
        <f>SUMIF(ssg7.2,teama1,ssr7.1)</f>
        <v>0</v>
      </c>
      <c r="AQ8" s="35">
        <f>SUMIF(ssg8.1,teama1,ssr8.1)</f>
        <v>23</v>
      </c>
      <c r="AR8" s="35">
        <f>SUMIF(ssg8.2,teama1,ssr8.2)</f>
        <v>0</v>
      </c>
      <c r="AS8" s="35">
        <f>SUMIF(ssg8.1,teama1,ssr8.2)</f>
        <v>2</v>
      </c>
      <c r="AT8" s="35">
        <f>SUMIF(ssg8.2,teama1,ssr8.1)</f>
        <v>0</v>
      </c>
      <c r="AU8" s="35">
        <f>SUMIF(ssg9.1,teama1,ssr9.1)</f>
        <v>0</v>
      </c>
      <c r="AV8" s="35">
        <f>SUMIF(ssg9.2,teama1,ssr9.2)</f>
        <v>5</v>
      </c>
      <c r="AW8" s="35">
        <f>SUMIF(ssg9.1,teama1,ssr9.2)</f>
        <v>0</v>
      </c>
      <c r="AX8" s="35">
        <f>SUMIF(ssg9.2,teama1,ssr9.1)</f>
        <v>11</v>
      </c>
      <c r="AY8" s="33">
        <f>O8+P8+S8+T8+W8+X8+AA8+AB8+AE8+AF8+AI8+AJ8+AM8+AN8+AQ8+AR8+AU8+AV8</f>
        <v>100</v>
      </c>
      <c r="AZ8" s="33">
        <f>Q8+R8+U8+V8+Y8+Z8+AC8+AD8+AG8+AH8+AK8+AL8+AO8+AP8+AS8+AT8+AW8+AX8</f>
        <v>61</v>
      </c>
      <c r="BD8" s="6">
        <f aca="true" t="shared" si="2" ref="BD8:BD17">IF(O8+P8=0,pointsforlose,IF(O8+P8=Q8+R8,pointsfordraw,IF(O8+P8&gt;Q8+R8,pointsforwin,pointsforlose)))</f>
        <v>0</v>
      </c>
      <c r="BE8" s="6">
        <f aca="true" t="shared" si="3" ref="BE8:BE17">IF(S8+T8=0,pointsforlose,IF(S8+T8=U8+V8,pointsfordraw,IF(S8+T8&gt;U8+V8,pointsforwin,pointsforlose)))</f>
        <v>0</v>
      </c>
      <c r="BF8" s="6">
        <f aca="true" t="shared" si="4" ref="BF8:BF17">IF(W8+X8=0,pointsforlose,IF(W8+X8=Y8+Z8,pointsfordraw,IF(W8+X8&gt;Y8+Z8,pointsforwin,pointsforlose)))</f>
        <v>2</v>
      </c>
      <c r="BG8" s="6">
        <f aca="true" t="shared" si="5" ref="BG8:BG17">IF(AA8+AB8=0,pointsforlose,IF(AA8+AB8=AC8+AD8,pointsfordraw,IF(AA8+AB8&gt;AC8+AD8,pointsforwin,pointsforlose)))</f>
        <v>2</v>
      </c>
      <c r="BH8" s="6">
        <f aca="true" t="shared" si="6" ref="BH8:BH17">IF(AE8+AF8=0,pointsforlose,IF(AE8+AF8=AG8+AH8,pointsfordraw,IF(AE8+AF8&gt;AG8+AH8,pointsforwin,pointsforlose)))</f>
        <v>2</v>
      </c>
      <c r="BI8" s="6">
        <f aca="true" t="shared" si="7" ref="BI8:BI17">IF(AI8+AJ8=0,pointsforlose,IF(AI8+AJ8=AK8+AL8,pointsfordraw,IF(AI8+AJ8&gt;AK8+AL8,pointsforwin,pointsforlose)))</f>
        <v>2</v>
      </c>
      <c r="BJ8" s="6">
        <f aca="true" t="shared" si="8" ref="BJ8:BJ17">IF(AM8+AN8=0,pointsforlose,IF(AM8+AN8=AO8+AP8,pointsfordraw,IF(AM8+AN8&gt;AO8+AP8,pointsforwin,pointsforlose)))</f>
        <v>2</v>
      </c>
      <c r="BK8" s="6">
        <f aca="true" t="shared" si="9" ref="BK8:BK17">IF(AQ8+AR8=0,pointsforlose,IF(AQ8+AR8=AS8+AT8,pointsfordraw,IF(AQ8+AR8&gt;AS8+AT8,pointsforwin,pointsforlose)))</f>
        <v>2</v>
      </c>
      <c r="BL8" s="6">
        <f aca="true" t="shared" si="10" ref="BL8:BL17">IF(AU8+AV8=0,pointsforlose,IF(AU8+AV8=AW8+AX8,pointsfordraw,IF(AU8+AV8&gt;AW8+AX8,pointsforwin,pointsforlose)))</f>
        <v>0</v>
      </c>
      <c r="BM8" s="33">
        <f>SUM(BD8:BL8)</f>
        <v>12</v>
      </c>
      <c r="BP8" s="33">
        <f>SUM(O8:R8)</f>
        <v>12</v>
      </c>
      <c r="BQ8" s="33">
        <f>SUM(S8:V8)</f>
        <v>24</v>
      </c>
      <c r="BR8" s="33">
        <f>SUM(W8:Z8)</f>
        <v>16</v>
      </c>
      <c r="BS8" s="33">
        <f>SUM(AA8:AD8)</f>
        <v>16</v>
      </c>
      <c r="BT8" s="33">
        <f>SUM(AE8:AH8)</f>
        <v>15</v>
      </c>
      <c r="BU8" s="33">
        <f>SUM(AI8:AL8)</f>
        <v>14</v>
      </c>
      <c r="BV8" s="33">
        <f>SUM(AM8:AP8)</f>
        <v>23</v>
      </c>
      <c r="BW8" s="33">
        <f>SUM(AQ8:AT8)</f>
        <v>25</v>
      </c>
      <c r="BX8" s="33">
        <f>SUM(AU8:AX8)</f>
        <v>16</v>
      </c>
      <c r="BY8" s="33"/>
      <c r="BZ8" s="33">
        <f aca="true" t="shared" si="11" ref="BZ8:BZ16">COUNTIF(BP8:BX8,"&gt;0")</f>
        <v>9</v>
      </c>
      <c r="CA8" s="6">
        <f aca="true" t="shared" si="12" ref="CA8:CA17">((((BM8*1000000)+(AY8*1000)+(AZ8-100)*-1)+CV8)*10)+CJ8</f>
        <v>121000391</v>
      </c>
      <c r="CB8" s="6">
        <f aca="true" t="shared" si="13" ref="CB8:CB17">RANK(CA8,g01tots1)</f>
        <v>3</v>
      </c>
      <c r="CC8" s="6" t="str">
        <f aca="true" t="shared" si="14" ref="CC8:CC17">B8</f>
        <v>Cambridgeshire</v>
      </c>
      <c r="CD8" s="6">
        <f>BM8</f>
        <v>12</v>
      </c>
      <c r="CE8" s="6">
        <f>AY8</f>
        <v>100</v>
      </c>
      <c r="CF8" s="6">
        <f>AZ8</f>
        <v>61</v>
      </c>
      <c r="CG8" s="6">
        <f>CV8</f>
        <v>0</v>
      </c>
      <c r="CH8" s="33">
        <f>A8</f>
        <v>1</v>
      </c>
      <c r="CI8" s="33">
        <f>BZ8</f>
        <v>9</v>
      </c>
      <c r="CJ8" s="6">
        <v>1</v>
      </c>
      <c r="CK8" s="36">
        <f aca="true" t="shared" si="15" ref="CK8:CK17">VLOOKUP(g01order,g01table,7,0)</f>
        <v>7</v>
      </c>
      <c r="CL8" s="37" t="str">
        <f aca="true" t="shared" si="16" ref="CL8:CL17">VLOOKUP(g01order,g01table,2,0)</f>
        <v>Northumberland</v>
      </c>
      <c r="CM8" s="6">
        <f aca="true" t="shared" si="17" ref="CM8:CM17">VLOOKUP(g01order,g01table,8,0)</f>
        <v>9</v>
      </c>
      <c r="CN8" s="6">
        <f aca="true" t="shared" si="18" ref="CN8:CN17">VLOOKUP(g01order,g01table,3,0)</f>
        <v>17</v>
      </c>
      <c r="CO8" s="6">
        <f aca="true" t="shared" si="19" ref="CO8:CO17">VLOOKUP(g01order,g01table,4,0)</f>
        <v>99</v>
      </c>
      <c r="CP8" s="6">
        <f aca="true" t="shared" si="20" ref="CP8:CP17">VLOOKUP(g01order,g01table,5,0)</f>
        <v>43</v>
      </c>
      <c r="CQ8" s="6">
        <f aca="true" t="shared" si="21" ref="CQ8:CQ17">VLOOKUP(g01order,g01table,6,0)</f>
        <v>0</v>
      </c>
      <c r="CR8" s="6">
        <f aca="true" t="shared" si="22" ref="CR8:CR13">((((CN8*1000000)+(CO8*1000)+(CP8-100)*-1))*10)+CQ8</f>
        <v>170990570</v>
      </c>
      <c r="CS8" s="38">
        <f aca="true" t="shared" si="23" ref="CS8:CS13">RANK(CR8,g01tots2)</f>
        <v>1</v>
      </c>
      <c r="CU8" s="39" t="str">
        <f aca="true" t="shared" si="24" ref="CU8:CU13">B8</f>
        <v>Cambridgeshire</v>
      </c>
      <c r="CV8" s="40"/>
    </row>
    <row r="9" spans="1:100" s="6" customFormat="1" ht="18.75">
      <c r="A9" s="41">
        <v>2</v>
      </c>
      <c r="B9" s="42" t="s">
        <v>48</v>
      </c>
      <c r="D9" s="6" t="str">
        <f t="shared" si="0"/>
        <v>Norfolk</v>
      </c>
      <c r="E9" s="6" t="str">
        <f t="shared" si="1"/>
        <v>Northumberland</v>
      </c>
      <c r="F9" s="78" t="str">
        <f aca="true" t="shared" si="25" ref="F9:F52">CONCATENATE(D9," v. ",E9)</f>
        <v>Norfolk v. Northumberland</v>
      </c>
      <c r="G9" s="6">
        <f aca="true" t="shared" si="26" ref="G9:G52">IF(ISNUMBER(SEARCH("0",F9)),1,2)</f>
        <v>2</v>
      </c>
      <c r="H9" s="33">
        <v>5</v>
      </c>
      <c r="I9" s="6" t="s">
        <v>47</v>
      </c>
      <c r="J9" s="79">
        <v>7</v>
      </c>
      <c r="K9" s="33"/>
      <c r="L9" s="83">
        <v>5</v>
      </c>
      <c r="M9" s="83">
        <v>6</v>
      </c>
      <c r="N9" s="34"/>
      <c r="O9" s="35">
        <f>SUMIF(ssg1.1,teama2,ssr1.1)</f>
        <v>0</v>
      </c>
      <c r="P9" s="35">
        <f>SUMIF(ssg1.2,teama2,ssr1.2)</f>
        <v>8</v>
      </c>
      <c r="Q9" s="35">
        <f>SUMIF(ssg1.1,teama2,ssr1.2)</f>
        <v>0</v>
      </c>
      <c r="R9" s="35">
        <f>SUMIF(ssg1.2,teama2,ssr1.1)</f>
        <v>9</v>
      </c>
      <c r="S9" s="35">
        <f>SUMIF(ssg2.1,teama2,ssr2.1)</f>
        <v>6</v>
      </c>
      <c r="T9" s="35">
        <f>SUMIF(ssg2.2,teama2,ssr2.2)</f>
        <v>0</v>
      </c>
      <c r="U9" s="35">
        <f>SUMIF(ssg2.1,teama2,ssr2.2)</f>
        <v>10</v>
      </c>
      <c r="V9" s="35">
        <f>SUMIF(ssg2.2,teama2,ssr2.1)</f>
        <v>0</v>
      </c>
      <c r="W9" s="35">
        <f>SUMIF(ssg3.1,teama2,ssr3.1)</f>
        <v>3</v>
      </c>
      <c r="X9" s="35">
        <f>SUMIF(ssg3.2,teama2,ssr3.2)</f>
        <v>0</v>
      </c>
      <c r="Y9" s="35">
        <f>SUMIF(ssg3.1,teama2,ssr3.2)</f>
        <v>8</v>
      </c>
      <c r="Z9" s="35">
        <f>SUMIF(ssg3.2,teama2,ssr3.1)</f>
        <v>0</v>
      </c>
      <c r="AA9" s="35">
        <f>SUMIF(ssg4.1,teama2,ssr4.1)</f>
        <v>1</v>
      </c>
      <c r="AB9" s="35">
        <f>SUMIF(ssg4.2,teama2,ssr4.2)</f>
        <v>0</v>
      </c>
      <c r="AC9" s="35">
        <f>SUMIF(ssg4.1,teama2,ssr4.2)</f>
        <v>13</v>
      </c>
      <c r="AD9" s="35">
        <f>SUMIF(ssg4.2,teama2,ssr4.1)</f>
        <v>0</v>
      </c>
      <c r="AE9" s="35">
        <f>SUMIF(ssg5.1,teama2,ssr5.1)</f>
        <v>9</v>
      </c>
      <c r="AF9" s="35">
        <f>SUMIF(ssg5.2,teama2,ssr5.2)</f>
        <v>0</v>
      </c>
      <c r="AG9" s="35">
        <f>SUMIF(ssg5.1,teama2,ssr5.2)</f>
        <v>6</v>
      </c>
      <c r="AH9" s="35">
        <f>SUMIF(ssg5.2,teama2,ssr5.1)</f>
        <v>0</v>
      </c>
      <c r="AI9" s="35">
        <f>SUMIF(ssg6.1,teama2,ssr6.1)</f>
        <v>2</v>
      </c>
      <c r="AJ9" s="35">
        <f>SUMIF(ssg6.2,teama2,ssr6.2)</f>
        <v>0</v>
      </c>
      <c r="AK9" s="35">
        <f>SUMIF(ssg6.1,teama2,ssr6.2)</f>
        <v>10</v>
      </c>
      <c r="AL9" s="35">
        <f>SUMIF(ssg6.2,teama2,ssr6.1)</f>
        <v>0</v>
      </c>
      <c r="AM9" s="35">
        <f>SUMIF(ssg7.1,teama2,ssr7.1)</f>
        <v>0</v>
      </c>
      <c r="AN9" s="35">
        <f>SUMIF(ssg7.2,teama2,ssr7.2)</f>
        <v>2</v>
      </c>
      <c r="AO9" s="35">
        <f>SUMIF(ssg7.1,teama2,ssr7.2)</f>
        <v>0</v>
      </c>
      <c r="AP9" s="35">
        <f>SUMIF(ssg7.2,teama2,ssr7.1)</f>
        <v>13</v>
      </c>
      <c r="AQ9" s="35">
        <f>SUMIF(ssg8.1,teama2,ssr8.1)</f>
        <v>0</v>
      </c>
      <c r="AR9" s="35">
        <f>SUMIF(ssg8.2,teama2,ssr8.2)</f>
        <v>2</v>
      </c>
      <c r="AS9" s="35">
        <f>SUMIF(ssg8.1,teama2,ssr8.2)</f>
        <v>0</v>
      </c>
      <c r="AT9" s="35">
        <f>SUMIF(ssg8.2,teama2,ssr8.1)</f>
        <v>23</v>
      </c>
      <c r="AU9" s="35">
        <f>SUMIF(ssg9.1,teama2,ssr9.1)</f>
        <v>19</v>
      </c>
      <c r="AV9" s="35">
        <f>SUMIF(ssg9.2,teama2,ssr9.2)</f>
        <v>0</v>
      </c>
      <c r="AW9" s="35">
        <f>SUMIF(ssg9.1,teama2,ssr9.2)</f>
        <v>5</v>
      </c>
      <c r="AX9" s="35">
        <f>SUMIF(ssg9.2,teama2,ssr9.1)</f>
        <v>0</v>
      </c>
      <c r="AY9" s="33">
        <f aca="true" t="shared" si="27" ref="AY9:AY17">O9+P9+S9+T9+W9+X9+AA9+AB9+AE9+AF9+AI9+AJ9+AM9+AN9+AQ9+AR9+AU9+AV9</f>
        <v>52</v>
      </c>
      <c r="AZ9" s="33">
        <f aca="true" t="shared" si="28" ref="AZ9:AZ17">Q9+R9+U9+V9+Y9+Z9+AC9+AD9+AG9+AH9+AK9+AL9+AO9+AP9+AS9+AT9+AW9+AX9</f>
        <v>97</v>
      </c>
      <c r="BD9" s="6">
        <f t="shared" si="2"/>
        <v>0</v>
      </c>
      <c r="BE9" s="6">
        <f t="shared" si="3"/>
        <v>0</v>
      </c>
      <c r="BF9" s="6">
        <f t="shared" si="4"/>
        <v>0</v>
      </c>
      <c r="BG9" s="6">
        <f t="shared" si="5"/>
        <v>0</v>
      </c>
      <c r="BH9" s="6">
        <f t="shared" si="6"/>
        <v>2</v>
      </c>
      <c r="BI9" s="6">
        <f t="shared" si="7"/>
        <v>0</v>
      </c>
      <c r="BJ9" s="6">
        <f t="shared" si="8"/>
        <v>0</v>
      </c>
      <c r="BK9" s="6">
        <f t="shared" si="9"/>
        <v>0</v>
      </c>
      <c r="BL9" s="6">
        <f t="shared" si="10"/>
        <v>2</v>
      </c>
      <c r="BM9" s="33">
        <f aca="true" t="shared" si="29" ref="BM9:BM17">SUM(BD9:BL9)</f>
        <v>4</v>
      </c>
      <c r="BP9" s="33">
        <f aca="true" t="shared" si="30" ref="BP9:BP17">SUM(O9:R9)</f>
        <v>17</v>
      </c>
      <c r="BQ9" s="33">
        <f aca="true" t="shared" si="31" ref="BQ9:BQ17">SUM(S9:V9)</f>
        <v>16</v>
      </c>
      <c r="BR9" s="33">
        <f aca="true" t="shared" si="32" ref="BR9:BR17">SUM(W9:Z9)</f>
        <v>11</v>
      </c>
      <c r="BS9" s="33">
        <f aca="true" t="shared" si="33" ref="BS9:BS17">SUM(AA9:AD9)</f>
        <v>14</v>
      </c>
      <c r="BT9" s="33">
        <f aca="true" t="shared" si="34" ref="BT9:BT17">SUM(AE9:AH9)</f>
        <v>15</v>
      </c>
      <c r="BU9" s="33">
        <f aca="true" t="shared" si="35" ref="BU9:BU17">SUM(AI9:AL9)</f>
        <v>12</v>
      </c>
      <c r="BV9" s="33">
        <f aca="true" t="shared" si="36" ref="BV9:BV17">SUM(AM9:AP9)</f>
        <v>15</v>
      </c>
      <c r="BW9" s="33">
        <f aca="true" t="shared" si="37" ref="BW9:BW17">SUM(AQ9:AT9)</f>
        <v>25</v>
      </c>
      <c r="BX9" s="33">
        <f aca="true" t="shared" si="38" ref="BX9:BX17">SUM(AU9:AX9)</f>
        <v>24</v>
      </c>
      <c r="BY9" s="33"/>
      <c r="BZ9" s="33">
        <f t="shared" si="11"/>
        <v>9</v>
      </c>
      <c r="CA9" s="6">
        <f t="shared" si="12"/>
        <v>40520032</v>
      </c>
      <c r="CB9" s="6">
        <f t="shared" si="13"/>
        <v>8</v>
      </c>
      <c r="CC9" s="6" t="str">
        <f t="shared" si="14"/>
        <v>Durham</v>
      </c>
      <c r="CD9" s="6">
        <f aca="true" t="shared" si="39" ref="CD9:CD17">BM9</f>
        <v>4</v>
      </c>
      <c r="CE9" s="6">
        <f aca="true" t="shared" si="40" ref="CE9:CF17">AY9</f>
        <v>52</v>
      </c>
      <c r="CF9" s="6">
        <f t="shared" si="40"/>
        <v>97</v>
      </c>
      <c r="CG9" s="6">
        <f aca="true" t="shared" si="41" ref="CG9:CG17">CV9</f>
        <v>0</v>
      </c>
      <c r="CH9" s="33">
        <f aca="true" t="shared" si="42" ref="CH9:CH17">A9</f>
        <v>2</v>
      </c>
      <c r="CI9" s="33">
        <f aca="true" t="shared" si="43" ref="CI9:CI17">BZ9</f>
        <v>9</v>
      </c>
      <c r="CJ9" s="6">
        <v>2</v>
      </c>
      <c r="CK9" s="36">
        <f t="shared" si="15"/>
        <v>10</v>
      </c>
      <c r="CL9" s="37" t="str">
        <f t="shared" si="16"/>
        <v>Sunderland</v>
      </c>
      <c r="CM9" s="6">
        <f t="shared" si="17"/>
        <v>9</v>
      </c>
      <c r="CN9" s="6">
        <f t="shared" si="18"/>
        <v>17</v>
      </c>
      <c r="CO9" s="6">
        <f t="shared" si="19"/>
        <v>96</v>
      </c>
      <c r="CP9" s="6">
        <f t="shared" si="20"/>
        <v>43</v>
      </c>
      <c r="CQ9" s="6">
        <f t="shared" si="21"/>
        <v>0</v>
      </c>
      <c r="CR9" s="6">
        <f t="shared" si="22"/>
        <v>170960570</v>
      </c>
      <c r="CS9" s="38">
        <f t="shared" si="23"/>
        <v>2</v>
      </c>
      <c r="CU9" s="39" t="str">
        <f t="shared" si="24"/>
        <v>Durham</v>
      </c>
      <c r="CV9" s="40"/>
    </row>
    <row r="10" spans="1:100" s="6" customFormat="1" ht="18.75">
      <c r="A10" s="41">
        <v>3</v>
      </c>
      <c r="B10" s="42" t="s">
        <v>49</v>
      </c>
      <c r="D10" s="6" t="str">
        <f t="shared" si="0"/>
        <v>Essex</v>
      </c>
      <c r="E10" s="6" t="str">
        <f t="shared" si="1"/>
        <v>South Tyneside</v>
      </c>
      <c r="F10" s="78" t="str">
        <f t="shared" si="25"/>
        <v>Essex v. South Tyneside</v>
      </c>
      <c r="G10" s="6">
        <f t="shared" si="26"/>
        <v>2</v>
      </c>
      <c r="H10" s="33">
        <v>3</v>
      </c>
      <c r="I10" s="6" t="s">
        <v>47</v>
      </c>
      <c r="J10" s="79">
        <v>8</v>
      </c>
      <c r="K10" s="33"/>
      <c r="L10" s="83">
        <v>6</v>
      </c>
      <c r="M10" s="83">
        <v>5</v>
      </c>
      <c r="N10" s="34"/>
      <c r="O10" s="35">
        <f>SUMIF(ssg1.1,teama3,ssr1.1)</f>
        <v>6</v>
      </c>
      <c r="P10" s="35">
        <f>SUMIF(ssg1.2,teama3,ssr1.2)</f>
        <v>0</v>
      </c>
      <c r="Q10" s="35">
        <f>SUMIF(ssg1.1,teama3,ssr1.2)</f>
        <v>5</v>
      </c>
      <c r="R10" s="35">
        <f>SUMIF(ssg1.2,teama3,ssr1.1)</f>
        <v>0</v>
      </c>
      <c r="S10" s="35">
        <f>SUMIF(ssg2.1,teama3,ssr2.1)</f>
        <v>0</v>
      </c>
      <c r="T10" s="35">
        <f>SUMIF(ssg2.2,teama3,ssr2.2)</f>
        <v>13</v>
      </c>
      <c r="U10" s="35">
        <f>SUMIF(ssg2.1,teama3,ssr2.2)</f>
        <v>0</v>
      </c>
      <c r="V10" s="35">
        <f>SUMIF(ssg2.2,teama3,ssr2.1)</f>
        <v>4</v>
      </c>
      <c r="W10" s="35">
        <f>SUMIF(ssg3.1,teama3,ssr3.1)</f>
        <v>12</v>
      </c>
      <c r="X10" s="35">
        <f>SUMIF(ssg3.2,teama3,ssr3.2)</f>
        <v>0</v>
      </c>
      <c r="Y10" s="35">
        <f>SUMIF(ssg3.1,teama3,ssr3.2)</f>
        <v>3</v>
      </c>
      <c r="Z10" s="35">
        <f>SUMIF(ssg3.2,teama3,ssr3.1)</f>
        <v>0</v>
      </c>
      <c r="AA10" s="35">
        <f>SUMIF(ssg4.1,teama3,ssr4.1)</f>
        <v>0</v>
      </c>
      <c r="AB10" s="35">
        <f>SUMIF(ssg4.2,teama3,ssr4.2)</f>
        <v>4</v>
      </c>
      <c r="AC10" s="35">
        <f>SUMIF(ssg4.1,teama3,ssr4.2)</f>
        <v>0</v>
      </c>
      <c r="AD10" s="35">
        <f>SUMIF(ssg4.2,teama3,ssr4.1)</f>
        <v>12</v>
      </c>
      <c r="AE10" s="35">
        <f>SUMIF(ssg5.1,teama3,ssr5.1)</f>
        <v>0</v>
      </c>
      <c r="AF10" s="35">
        <f>SUMIF(ssg5.2,teama3,ssr5.2)</f>
        <v>6</v>
      </c>
      <c r="AG10" s="35">
        <f>SUMIF(ssg5.1,teama3,ssr5.2)</f>
        <v>0</v>
      </c>
      <c r="AH10" s="35">
        <f>SUMIF(ssg5.2,teama3,ssr5.1)</f>
        <v>9</v>
      </c>
      <c r="AI10" s="35">
        <f>SUMIF(ssg6.1,teama3,ssr6.1)</f>
        <v>0</v>
      </c>
      <c r="AJ10" s="35">
        <f>SUMIF(ssg6.2,teama3,ssr6.2)</f>
        <v>10</v>
      </c>
      <c r="AK10" s="35">
        <f>SUMIF(ssg6.1,teama3,ssr6.2)</f>
        <v>0</v>
      </c>
      <c r="AL10" s="35">
        <f>SUMIF(ssg6.2,teama3,ssr6.1)</f>
        <v>2</v>
      </c>
      <c r="AM10" s="35">
        <f>SUMIF(ssg7.1,teama3,ssr7.1)</f>
        <v>5</v>
      </c>
      <c r="AN10" s="35">
        <f>SUMIF(ssg7.2,teama3,ssr7.2)</f>
        <v>0</v>
      </c>
      <c r="AO10" s="35">
        <f>SUMIF(ssg7.1,teama3,ssr7.2)</f>
        <v>12</v>
      </c>
      <c r="AP10" s="35">
        <f>SUMIF(ssg7.2,teama3,ssr7.1)</f>
        <v>0</v>
      </c>
      <c r="AQ10" s="35">
        <f>SUMIF(ssg8.1,teama3,ssr8.1)</f>
        <v>7</v>
      </c>
      <c r="AR10" s="35">
        <f>SUMIF(ssg8.2,teama3,ssr8.2)</f>
        <v>0</v>
      </c>
      <c r="AS10" s="35">
        <f>SUMIF(ssg8.1,teama3,ssr8.2)</f>
        <v>5</v>
      </c>
      <c r="AT10" s="35">
        <f>SUMIF(ssg8.2,teama3,ssr8.1)</f>
        <v>0</v>
      </c>
      <c r="AU10" s="35">
        <f>SUMIF(ssg9.1,teama3,ssr9.1)</f>
        <v>3</v>
      </c>
      <c r="AV10" s="35">
        <f>SUMIF(ssg9.2,teama3,ssr9.2)</f>
        <v>0</v>
      </c>
      <c r="AW10" s="35">
        <f>SUMIF(ssg9.1,teama3,ssr9.2)</f>
        <v>9</v>
      </c>
      <c r="AX10" s="35">
        <f>SUMIF(ssg9.2,teama3,ssr9.1)</f>
        <v>0</v>
      </c>
      <c r="AY10" s="33">
        <f t="shared" si="27"/>
        <v>66</v>
      </c>
      <c r="AZ10" s="33">
        <f t="shared" si="28"/>
        <v>61</v>
      </c>
      <c r="BD10" s="6">
        <f t="shared" si="2"/>
        <v>2</v>
      </c>
      <c r="BE10" s="6">
        <f t="shared" si="3"/>
        <v>2</v>
      </c>
      <c r="BF10" s="6">
        <f t="shared" si="4"/>
        <v>2</v>
      </c>
      <c r="BG10" s="6">
        <f t="shared" si="5"/>
        <v>0</v>
      </c>
      <c r="BH10" s="6">
        <f t="shared" si="6"/>
        <v>0</v>
      </c>
      <c r="BI10" s="6">
        <f t="shared" si="7"/>
        <v>2</v>
      </c>
      <c r="BJ10" s="6">
        <f t="shared" si="8"/>
        <v>0</v>
      </c>
      <c r="BK10" s="6">
        <f t="shared" si="9"/>
        <v>2</v>
      </c>
      <c r="BL10" s="6">
        <f t="shared" si="10"/>
        <v>0</v>
      </c>
      <c r="BM10" s="33">
        <f t="shared" si="29"/>
        <v>10</v>
      </c>
      <c r="BP10" s="33">
        <f t="shared" si="30"/>
        <v>11</v>
      </c>
      <c r="BQ10" s="33">
        <f t="shared" si="31"/>
        <v>17</v>
      </c>
      <c r="BR10" s="33">
        <f t="shared" si="32"/>
        <v>15</v>
      </c>
      <c r="BS10" s="33">
        <f t="shared" si="33"/>
        <v>16</v>
      </c>
      <c r="BT10" s="33">
        <f t="shared" si="34"/>
        <v>15</v>
      </c>
      <c r="BU10" s="33">
        <f t="shared" si="35"/>
        <v>12</v>
      </c>
      <c r="BV10" s="33">
        <f t="shared" si="36"/>
        <v>17</v>
      </c>
      <c r="BW10" s="33">
        <f t="shared" si="37"/>
        <v>12</v>
      </c>
      <c r="BX10" s="33">
        <f t="shared" si="38"/>
        <v>12</v>
      </c>
      <c r="BY10" s="33"/>
      <c r="BZ10" s="33">
        <f t="shared" si="11"/>
        <v>9</v>
      </c>
      <c r="CA10" s="6">
        <f t="shared" si="12"/>
        <v>100660393</v>
      </c>
      <c r="CB10" s="6">
        <f t="shared" si="13"/>
        <v>6</v>
      </c>
      <c r="CC10" s="6" t="str">
        <f t="shared" si="14"/>
        <v>Essex</v>
      </c>
      <c r="CD10" s="6">
        <f t="shared" si="39"/>
        <v>10</v>
      </c>
      <c r="CE10" s="6">
        <f t="shared" si="40"/>
        <v>66</v>
      </c>
      <c r="CF10" s="6">
        <f t="shared" si="40"/>
        <v>61</v>
      </c>
      <c r="CG10" s="6">
        <f t="shared" si="41"/>
        <v>0</v>
      </c>
      <c r="CH10" s="33">
        <f t="shared" si="42"/>
        <v>3</v>
      </c>
      <c r="CI10" s="33">
        <f t="shared" si="43"/>
        <v>9</v>
      </c>
      <c r="CJ10" s="6">
        <v>3</v>
      </c>
      <c r="CK10" s="36">
        <f t="shared" si="15"/>
        <v>1</v>
      </c>
      <c r="CL10" s="37" t="str">
        <f t="shared" si="16"/>
        <v>Cambridgeshire</v>
      </c>
      <c r="CM10" s="6">
        <f t="shared" si="17"/>
        <v>9</v>
      </c>
      <c r="CN10" s="6">
        <f t="shared" si="18"/>
        <v>12</v>
      </c>
      <c r="CO10" s="6">
        <f t="shared" si="19"/>
        <v>100</v>
      </c>
      <c r="CP10" s="6">
        <f t="shared" si="20"/>
        <v>61</v>
      </c>
      <c r="CQ10" s="6">
        <f t="shared" si="21"/>
        <v>0</v>
      </c>
      <c r="CR10" s="6">
        <f t="shared" si="22"/>
        <v>121000390</v>
      </c>
      <c r="CS10" s="38">
        <f t="shared" si="23"/>
        <v>3</v>
      </c>
      <c r="CU10" s="39" t="str">
        <f t="shared" si="24"/>
        <v>Essex</v>
      </c>
      <c r="CV10" s="40"/>
    </row>
    <row r="11" spans="1:100" s="6" customFormat="1" ht="18.75">
      <c r="A11" s="41">
        <v>4</v>
      </c>
      <c r="B11" s="42" t="s">
        <v>50</v>
      </c>
      <c r="C11" s="12"/>
      <c r="D11" s="6" t="str">
        <f t="shared" si="0"/>
        <v>Sunderland</v>
      </c>
      <c r="E11" s="6" t="str">
        <f t="shared" si="1"/>
        <v>Durham</v>
      </c>
      <c r="F11" s="78" t="str">
        <f t="shared" si="25"/>
        <v>Sunderland v. Durham</v>
      </c>
      <c r="G11" s="6">
        <f t="shared" si="26"/>
        <v>2</v>
      </c>
      <c r="H11" s="33">
        <v>10</v>
      </c>
      <c r="I11" s="6" t="s">
        <v>47</v>
      </c>
      <c r="J11" s="79">
        <v>2</v>
      </c>
      <c r="K11" s="8"/>
      <c r="L11" s="83">
        <v>9</v>
      </c>
      <c r="M11" s="83">
        <v>8</v>
      </c>
      <c r="N11" s="34"/>
      <c r="O11" s="35">
        <f>SUMIF(ssg1.1,teama4,ssr1.1)</f>
        <v>13</v>
      </c>
      <c r="P11" s="35">
        <f>SUMIF(ssg1.2,teama4,ssr1.2)</f>
        <v>0</v>
      </c>
      <c r="Q11" s="35">
        <f>SUMIF(ssg1.1,teama4,ssr1.2)</f>
        <v>5</v>
      </c>
      <c r="R11" s="35">
        <f>SUMIF(ssg1.2,teama4,ssr1.1)</f>
        <v>0</v>
      </c>
      <c r="S11" s="35">
        <f>SUMIF(ssg2.1,teama4,ssr2.1)</f>
        <v>0</v>
      </c>
      <c r="T11" s="35">
        <f>SUMIF(ssg2.2,teama4,ssr2.2)</f>
        <v>4</v>
      </c>
      <c r="U11" s="35">
        <f>SUMIF(ssg2.1,teama4,ssr2.2)</f>
        <v>0</v>
      </c>
      <c r="V11" s="35">
        <f>SUMIF(ssg2.2,teama4,ssr2.1)</f>
        <v>8</v>
      </c>
      <c r="W11" s="35">
        <f>SUMIF(ssg3.1,teama4,ssr3.1)</f>
        <v>0</v>
      </c>
      <c r="X11" s="35">
        <f>SUMIF(ssg3.2,teama4,ssr3.2)</f>
        <v>9</v>
      </c>
      <c r="Y11" s="35">
        <f>SUMIF(ssg3.1,teama4,ssr3.2)</f>
        <v>0</v>
      </c>
      <c r="Z11" s="35">
        <f>SUMIF(ssg3.2,teama4,ssr3.1)</f>
        <v>3</v>
      </c>
      <c r="AA11" s="35">
        <f>SUMIF(ssg4.1,teama4,ssr4.1)</f>
        <v>0</v>
      </c>
      <c r="AB11" s="35">
        <f>SUMIF(ssg4.2,teama4,ssr4.2)</f>
        <v>13</v>
      </c>
      <c r="AC11" s="35">
        <f>SUMIF(ssg4.1,teama4,ssr4.2)</f>
        <v>0</v>
      </c>
      <c r="AD11" s="35">
        <f>SUMIF(ssg4.2,teama4,ssr4.1)</f>
        <v>1</v>
      </c>
      <c r="AE11" s="35">
        <f>SUMIF(ssg5.1,teama4,ssr5.1)</f>
        <v>5</v>
      </c>
      <c r="AF11" s="35">
        <f>SUMIF(ssg5.2,teama4,ssr5.2)</f>
        <v>0</v>
      </c>
      <c r="AG11" s="35">
        <f>SUMIF(ssg5.1,teama4,ssr5.2)</f>
        <v>17</v>
      </c>
      <c r="AH11" s="35">
        <f>SUMIF(ssg5.2,teama4,ssr5.1)</f>
        <v>0</v>
      </c>
      <c r="AI11" s="35">
        <f>SUMIF(ssg6.1,teama4,ssr6.1)</f>
        <v>12</v>
      </c>
      <c r="AJ11" s="35">
        <f>SUMIF(ssg6.2,teama4,ssr6.2)</f>
        <v>0</v>
      </c>
      <c r="AK11" s="35">
        <f>SUMIF(ssg6.1,teama4,ssr6.2)</f>
        <v>3</v>
      </c>
      <c r="AL11" s="35">
        <f>SUMIF(ssg6.2,teama4,ssr6.1)</f>
        <v>0</v>
      </c>
      <c r="AM11" s="35">
        <f>SUMIF(ssg7.1,teama4,ssr7.1)</f>
        <v>0</v>
      </c>
      <c r="AN11" s="35">
        <f>SUMIF(ssg7.2,teama4,ssr7.2)</f>
        <v>6</v>
      </c>
      <c r="AO11" s="35">
        <f>SUMIF(ssg7.1,teama4,ssr7.2)</f>
        <v>0</v>
      </c>
      <c r="AP11" s="35">
        <f>SUMIF(ssg7.2,teama4,ssr7.1)</f>
        <v>17</v>
      </c>
      <c r="AQ11" s="35">
        <f>SUMIF(ssg8.1,teama4,ssr8.1)</f>
        <v>0</v>
      </c>
      <c r="AR11" s="35">
        <f>SUMIF(ssg8.2,teama4,ssr8.2)</f>
        <v>5</v>
      </c>
      <c r="AS11" s="35">
        <f>SUMIF(ssg8.1,teama4,ssr8.2)</f>
        <v>0</v>
      </c>
      <c r="AT11" s="35">
        <f>SUMIF(ssg8.2,teama4,ssr8.1)</f>
        <v>7</v>
      </c>
      <c r="AU11" s="35">
        <f>SUMIF(ssg9.1,teama4,ssr9.1)</f>
        <v>9</v>
      </c>
      <c r="AV11" s="35">
        <f>SUMIF(ssg9.2,teama4,ssr9.2)</f>
        <v>0</v>
      </c>
      <c r="AW11" s="35">
        <f>SUMIF(ssg9.1,teama4,ssr9.2)</f>
        <v>7</v>
      </c>
      <c r="AX11" s="35">
        <f>SUMIF(ssg9.2,teama4,ssr9.1)</f>
        <v>0</v>
      </c>
      <c r="AY11" s="33">
        <f t="shared" si="27"/>
        <v>76</v>
      </c>
      <c r="AZ11" s="33">
        <f t="shared" si="28"/>
        <v>68</v>
      </c>
      <c r="BD11" s="6">
        <f t="shared" si="2"/>
        <v>2</v>
      </c>
      <c r="BE11" s="6">
        <f t="shared" si="3"/>
        <v>0</v>
      </c>
      <c r="BF11" s="6">
        <f t="shared" si="4"/>
        <v>2</v>
      </c>
      <c r="BG11" s="6">
        <f t="shared" si="5"/>
        <v>2</v>
      </c>
      <c r="BH11" s="6">
        <f t="shared" si="6"/>
        <v>0</v>
      </c>
      <c r="BI11" s="6">
        <f t="shared" si="7"/>
        <v>2</v>
      </c>
      <c r="BJ11" s="6">
        <f t="shared" si="8"/>
        <v>0</v>
      </c>
      <c r="BK11" s="6">
        <f t="shared" si="9"/>
        <v>0</v>
      </c>
      <c r="BL11" s="6">
        <f t="shared" si="10"/>
        <v>2</v>
      </c>
      <c r="BM11" s="33">
        <f t="shared" si="29"/>
        <v>10</v>
      </c>
      <c r="BP11" s="33">
        <f t="shared" si="30"/>
        <v>18</v>
      </c>
      <c r="BQ11" s="33">
        <f t="shared" si="31"/>
        <v>12</v>
      </c>
      <c r="BR11" s="33">
        <f t="shared" si="32"/>
        <v>12</v>
      </c>
      <c r="BS11" s="33">
        <f t="shared" si="33"/>
        <v>14</v>
      </c>
      <c r="BT11" s="33">
        <f t="shared" si="34"/>
        <v>22</v>
      </c>
      <c r="BU11" s="33">
        <f t="shared" si="35"/>
        <v>15</v>
      </c>
      <c r="BV11" s="33">
        <f t="shared" si="36"/>
        <v>23</v>
      </c>
      <c r="BW11" s="33">
        <f t="shared" si="37"/>
        <v>12</v>
      </c>
      <c r="BX11" s="33">
        <f t="shared" si="38"/>
        <v>16</v>
      </c>
      <c r="BY11" s="33"/>
      <c r="BZ11" s="33">
        <f t="shared" si="11"/>
        <v>9</v>
      </c>
      <c r="CA11" s="6">
        <f t="shared" si="12"/>
        <v>100760324</v>
      </c>
      <c r="CB11" s="6">
        <f t="shared" si="13"/>
        <v>5</v>
      </c>
      <c r="CC11" s="6" t="str">
        <f t="shared" si="14"/>
        <v>Hertfordshire</v>
      </c>
      <c r="CD11" s="6">
        <f t="shared" si="39"/>
        <v>10</v>
      </c>
      <c r="CE11" s="6">
        <f t="shared" si="40"/>
        <v>76</v>
      </c>
      <c r="CF11" s="6">
        <f t="shared" si="40"/>
        <v>68</v>
      </c>
      <c r="CG11" s="6">
        <f t="shared" si="41"/>
        <v>0</v>
      </c>
      <c r="CH11" s="33">
        <f t="shared" si="42"/>
        <v>4</v>
      </c>
      <c r="CI11" s="33">
        <f t="shared" si="43"/>
        <v>9</v>
      </c>
      <c r="CJ11" s="6">
        <v>4</v>
      </c>
      <c r="CK11" s="36">
        <f t="shared" si="15"/>
        <v>5</v>
      </c>
      <c r="CL11" s="37" t="str">
        <f t="shared" si="16"/>
        <v>Norfolk</v>
      </c>
      <c r="CM11" s="6">
        <f t="shared" si="17"/>
        <v>9</v>
      </c>
      <c r="CN11" s="6">
        <f t="shared" si="18"/>
        <v>10</v>
      </c>
      <c r="CO11" s="6">
        <f t="shared" si="19"/>
        <v>78</v>
      </c>
      <c r="CP11" s="6">
        <f t="shared" si="20"/>
        <v>53</v>
      </c>
      <c r="CQ11" s="6">
        <f t="shared" si="21"/>
        <v>0</v>
      </c>
      <c r="CR11" s="6">
        <f t="shared" si="22"/>
        <v>100780470</v>
      </c>
      <c r="CS11" s="38">
        <f t="shared" si="23"/>
        <v>4</v>
      </c>
      <c r="CU11" s="39" t="str">
        <f t="shared" si="24"/>
        <v>Hertfordshire</v>
      </c>
      <c r="CV11" s="40"/>
    </row>
    <row r="12" spans="1:100" s="6" customFormat="1" ht="18.75">
      <c r="A12" s="41">
        <v>5</v>
      </c>
      <c r="B12" s="42" t="s">
        <v>51</v>
      </c>
      <c r="C12" s="12"/>
      <c r="D12" s="6" t="str">
        <f t="shared" si="0"/>
        <v>Suffolk</v>
      </c>
      <c r="E12" s="6" t="str">
        <f t="shared" si="1"/>
        <v>Cambridgeshire</v>
      </c>
      <c r="F12" s="80" t="str">
        <f t="shared" si="25"/>
        <v>Suffolk v. Cambridgeshire</v>
      </c>
      <c r="G12" s="47">
        <f t="shared" si="26"/>
        <v>2</v>
      </c>
      <c r="H12" s="81">
        <v>9</v>
      </c>
      <c r="I12" s="47" t="s">
        <v>47</v>
      </c>
      <c r="J12" s="82">
        <v>1</v>
      </c>
      <c r="K12" s="8"/>
      <c r="L12" s="83">
        <v>10</v>
      </c>
      <c r="M12" s="83">
        <v>2</v>
      </c>
      <c r="N12" s="34"/>
      <c r="O12" s="35">
        <f>SUMIF(ssg1.1,teama5,ssr1.1)</f>
        <v>5</v>
      </c>
      <c r="P12" s="35">
        <f>SUMIF(ssg1.2,teama5,ssr1.2)</f>
        <v>0</v>
      </c>
      <c r="Q12" s="35">
        <f>SUMIF(ssg1.1,teama5,ssr1.2)</f>
        <v>6</v>
      </c>
      <c r="R12" s="35">
        <f>SUMIF(ssg1.2,teama5,ssr1.1)</f>
        <v>0</v>
      </c>
      <c r="S12" s="35">
        <f>SUMIF(ssg2.1,teama5,ssr2.1)</f>
        <v>0</v>
      </c>
      <c r="T12" s="35">
        <f>SUMIF(ssg2.2,teama5,ssr2.2)</f>
        <v>10</v>
      </c>
      <c r="U12" s="35">
        <f>SUMIF(ssg2.1,teama5,ssr2.2)</f>
        <v>0</v>
      </c>
      <c r="V12" s="35">
        <f>SUMIF(ssg2.2,teama5,ssr2.1)</f>
        <v>6</v>
      </c>
      <c r="W12" s="35">
        <f>SUMIF(ssg3.1,teama5,ssr3.1)</f>
        <v>0</v>
      </c>
      <c r="X12" s="35">
        <f>SUMIF(ssg3.2,teama5,ssr3.2)</f>
        <v>4</v>
      </c>
      <c r="Y12" s="35">
        <f>SUMIF(ssg3.1,teama5,ssr3.2)</f>
        <v>0</v>
      </c>
      <c r="Z12" s="35">
        <f>SUMIF(ssg3.2,teama5,ssr3.1)</f>
        <v>10</v>
      </c>
      <c r="AA12" s="35">
        <f>SUMIF(ssg4.1,teama5,ssr4.1)</f>
        <v>6</v>
      </c>
      <c r="AB12" s="35">
        <f>SUMIF(ssg4.2,teama5,ssr4.2)</f>
        <v>0</v>
      </c>
      <c r="AC12" s="35">
        <f>SUMIF(ssg4.1,teama5,ssr4.2)</f>
        <v>4</v>
      </c>
      <c r="AD12" s="35">
        <f>SUMIF(ssg4.2,teama5,ssr4.1)</f>
        <v>0</v>
      </c>
      <c r="AE12" s="35">
        <f>SUMIF(ssg5.1,teama5,ssr5.1)</f>
        <v>0</v>
      </c>
      <c r="AF12" s="35">
        <f>SUMIF(ssg5.2,teama5,ssr5.2)</f>
        <v>7</v>
      </c>
      <c r="AG12" s="35">
        <f>SUMIF(ssg5.1,teama5,ssr5.2)</f>
        <v>0</v>
      </c>
      <c r="AH12" s="35">
        <f>SUMIF(ssg5.2,teama5,ssr5.1)</f>
        <v>8</v>
      </c>
      <c r="AI12" s="35">
        <f>SUMIF(ssg6.1,teama5,ssr6.1)</f>
        <v>0</v>
      </c>
      <c r="AJ12" s="35">
        <f>SUMIF(ssg6.2,teama5,ssr6.2)</f>
        <v>14</v>
      </c>
      <c r="AK12" s="35">
        <f>SUMIF(ssg6.1,teama5,ssr6.2)</f>
        <v>0</v>
      </c>
      <c r="AL12" s="35">
        <f>SUMIF(ssg6.2,teama5,ssr6.1)</f>
        <v>1</v>
      </c>
      <c r="AM12" s="35">
        <f>SUMIF(ssg7.1,teama5,ssr7.1)</f>
        <v>0</v>
      </c>
      <c r="AN12" s="35">
        <f>SUMIF(ssg7.2,teama5,ssr7.2)</f>
        <v>12</v>
      </c>
      <c r="AO12" s="35">
        <f>SUMIF(ssg7.1,teama5,ssr7.2)</f>
        <v>0</v>
      </c>
      <c r="AP12" s="35">
        <f>SUMIF(ssg7.2,teama5,ssr7.1)</f>
        <v>5</v>
      </c>
      <c r="AQ12" s="35">
        <f>SUMIF(ssg8.1,teama5,ssr8.1)</f>
        <v>13</v>
      </c>
      <c r="AR12" s="35">
        <f>SUMIF(ssg8.2,teama5,ssr8.2)</f>
        <v>0</v>
      </c>
      <c r="AS12" s="35">
        <f>SUMIF(ssg8.1,teama5,ssr8.2)</f>
        <v>4</v>
      </c>
      <c r="AT12" s="35">
        <f>SUMIF(ssg8.2,teama5,ssr8.1)</f>
        <v>0</v>
      </c>
      <c r="AU12" s="35">
        <f>SUMIF(ssg9.1,teama5,ssr9.1)</f>
        <v>0</v>
      </c>
      <c r="AV12" s="35">
        <f>SUMIF(ssg9.2,teama5,ssr9.2)</f>
        <v>7</v>
      </c>
      <c r="AW12" s="35">
        <f>SUMIF(ssg9.1,teama5,ssr9.2)</f>
        <v>0</v>
      </c>
      <c r="AX12" s="35">
        <f>SUMIF(ssg9.2,teama5,ssr9.1)</f>
        <v>9</v>
      </c>
      <c r="AY12" s="33">
        <f t="shared" si="27"/>
        <v>78</v>
      </c>
      <c r="AZ12" s="33">
        <f t="shared" si="28"/>
        <v>53</v>
      </c>
      <c r="BD12" s="6">
        <f t="shared" si="2"/>
        <v>0</v>
      </c>
      <c r="BE12" s="6">
        <f t="shared" si="3"/>
        <v>2</v>
      </c>
      <c r="BF12" s="6">
        <f t="shared" si="4"/>
        <v>0</v>
      </c>
      <c r="BG12" s="6">
        <f t="shared" si="5"/>
        <v>2</v>
      </c>
      <c r="BH12" s="6">
        <f t="shared" si="6"/>
        <v>0</v>
      </c>
      <c r="BI12" s="6">
        <f t="shared" si="7"/>
        <v>2</v>
      </c>
      <c r="BJ12" s="6">
        <f t="shared" si="8"/>
        <v>2</v>
      </c>
      <c r="BK12" s="6">
        <f t="shared" si="9"/>
        <v>2</v>
      </c>
      <c r="BL12" s="6">
        <f t="shared" si="10"/>
        <v>0</v>
      </c>
      <c r="BM12" s="33">
        <f t="shared" si="29"/>
        <v>10</v>
      </c>
      <c r="BP12" s="33">
        <f t="shared" si="30"/>
        <v>11</v>
      </c>
      <c r="BQ12" s="33">
        <f t="shared" si="31"/>
        <v>16</v>
      </c>
      <c r="BR12" s="33">
        <f t="shared" si="32"/>
        <v>14</v>
      </c>
      <c r="BS12" s="33">
        <f t="shared" si="33"/>
        <v>10</v>
      </c>
      <c r="BT12" s="33">
        <f t="shared" si="34"/>
        <v>15</v>
      </c>
      <c r="BU12" s="33">
        <f t="shared" si="35"/>
        <v>15</v>
      </c>
      <c r="BV12" s="33">
        <f t="shared" si="36"/>
        <v>17</v>
      </c>
      <c r="BW12" s="33">
        <f t="shared" si="37"/>
        <v>17</v>
      </c>
      <c r="BX12" s="33">
        <f t="shared" si="38"/>
        <v>16</v>
      </c>
      <c r="BY12" s="33"/>
      <c r="BZ12" s="33">
        <f t="shared" si="11"/>
        <v>9</v>
      </c>
      <c r="CA12" s="6">
        <f t="shared" si="12"/>
        <v>100780475</v>
      </c>
      <c r="CB12" s="6">
        <f t="shared" si="13"/>
        <v>4</v>
      </c>
      <c r="CC12" s="6" t="str">
        <f t="shared" si="14"/>
        <v>Norfolk</v>
      </c>
      <c r="CD12" s="6">
        <f t="shared" si="39"/>
        <v>10</v>
      </c>
      <c r="CE12" s="6">
        <f t="shared" si="40"/>
        <v>78</v>
      </c>
      <c r="CF12" s="6">
        <f t="shared" si="40"/>
        <v>53</v>
      </c>
      <c r="CG12" s="6">
        <f t="shared" si="41"/>
        <v>0</v>
      </c>
      <c r="CH12" s="33">
        <f t="shared" si="42"/>
        <v>5</v>
      </c>
      <c r="CI12" s="33">
        <f t="shared" si="43"/>
        <v>9</v>
      </c>
      <c r="CJ12" s="6">
        <v>5</v>
      </c>
      <c r="CK12" s="36">
        <f t="shared" si="15"/>
        <v>4</v>
      </c>
      <c r="CL12" s="37" t="str">
        <f t="shared" si="16"/>
        <v>Hertfordshire</v>
      </c>
      <c r="CM12" s="6">
        <f t="shared" si="17"/>
        <v>9</v>
      </c>
      <c r="CN12" s="6">
        <f t="shared" si="18"/>
        <v>10</v>
      </c>
      <c r="CO12" s="6">
        <f t="shared" si="19"/>
        <v>76</v>
      </c>
      <c r="CP12" s="6">
        <f t="shared" si="20"/>
        <v>68</v>
      </c>
      <c r="CQ12" s="6">
        <f t="shared" si="21"/>
        <v>0</v>
      </c>
      <c r="CR12" s="6">
        <f t="shared" si="22"/>
        <v>100760320</v>
      </c>
      <c r="CS12" s="38">
        <f t="shared" si="23"/>
        <v>5</v>
      </c>
      <c r="CU12" s="39" t="str">
        <f t="shared" si="24"/>
        <v>Norfolk</v>
      </c>
      <c r="CV12" s="40"/>
    </row>
    <row r="13" spans="1:100" s="6" customFormat="1" ht="18">
      <c r="A13" s="41">
        <v>6</v>
      </c>
      <c r="B13" s="42" t="s">
        <v>78</v>
      </c>
      <c r="D13" s="6" t="str">
        <f t="shared" si="0"/>
        <v>Cambridgeshire</v>
      </c>
      <c r="E13" s="6" t="str">
        <f t="shared" si="1"/>
        <v>Northumberland</v>
      </c>
      <c r="F13" s="74" t="str">
        <f t="shared" si="25"/>
        <v>Cambridgeshire v. Northumberland</v>
      </c>
      <c r="G13" s="75">
        <f>IF(ISNUMBER(SEARCH("0",F13)),1,2)</f>
        <v>2</v>
      </c>
      <c r="H13" s="76">
        <v>1</v>
      </c>
      <c r="I13" s="75" t="s">
        <v>47</v>
      </c>
      <c r="J13" s="77">
        <v>7</v>
      </c>
      <c r="K13" s="33"/>
      <c r="L13" s="83">
        <v>11</v>
      </c>
      <c r="M13" s="83">
        <v>13</v>
      </c>
      <c r="O13" s="35">
        <f>SUMIF(ssg1.1,teama6,ssr1.1)</f>
        <v>0</v>
      </c>
      <c r="P13" s="35">
        <f>SUMIF(ssg1.2,teama6,ssr1.2)</f>
        <v>5</v>
      </c>
      <c r="Q13" s="35">
        <f>SUMIF(ssg1.1,teama6,ssr1.2)</f>
        <v>0</v>
      </c>
      <c r="R13" s="35">
        <f>SUMIF(ssg1.2,teama6,ssr1.1)</f>
        <v>13</v>
      </c>
      <c r="S13" s="35">
        <f>SUMIF(ssg2.1,teama6,ssr2.1)</f>
        <v>6</v>
      </c>
      <c r="T13" s="35">
        <f>SUMIF(ssg2.2,teama6,ssr2.2)</f>
        <v>0</v>
      </c>
      <c r="U13" s="35">
        <f>SUMIF(ssg2.1,teama6,ssr2.2)</f>
        <v>18</v>
      </c>
      <c r="V13" s="35">
        <f>SUMIF(ssg2.2,teama6,ssr2.1)</f>
        <v>0</v>
      </c>
      <c r="W13" s="35">
        <f>SUMIF(ssg3.1,teama6,ssr3.1)</f>
        <v>0</v>
      </c>
      <c r="X13" s="35">
        <f>SUMIF(ssg3.2,teama6,ssr3.2)</f>
        <v>3</v>
      </c>
      <c r="Y13" s="35">
        <f>SUMIF(ssg3.1,teama6,ssr3.2)</f>
        <v>0</v>
      </c>
      <c r="Z13" s="35">
        <f>SUMIF(ssg3.2,teama6,ssr3.1)</f>
        <v>12</v>
      </c>
      <c r="AA13" s="35">
        <f>SUMIF(ssg4.1,teama6,ssr4.1)</f>
        <v>0</v>
      </c>
      <c r="AB13" s="35">
        <f>SUMIF(ssg4.2,teama6,ssr4.2)</f>
        <v>4</v>
      </c>
      <c r="AC13" s="35">
        <f>SUMIF(ssg4.1,teama6,ssr4.2)</f>
        <v>0</v>
      </c>
      <c r="AD13" s="35">
        <f>SUMIF(ssg4.2,teama6,ssr4.1)</f>
        <v>24</v>
      </c>
      <c r="AE13" s="35">
        <f>SUMIF(ssg5.1,teama6,ssr5.1)</f>
        <v>0</v>
      </c>
      <c r="AF13" s="35">
        <f>SUMIF(ssg5.2,teama6,ssr5.2)</f>
        <v>6</v>
      </c>
      <c r="AG13" s="35">
        <f>SUMIF(ssg5.1,teama6,ssr5.2)</f>
        <v>0</v>
      </c>
      <c r="AH13" s="35">
        <f>SUMIF(ssg5.2,teama6,ssr5.1)</f>
        <v>9</v>
      </c>
      <c r="AI13" s="35">
        <f>SUMIF(ssg6.1,teama6,ssr6.1)</f>
        <v>0</v>
      </c>
      <c r="AJ13" s="35">
        <f>SUMIF(ssg6.2,teama6,ssr6.2)</f>
        <v>5</v>
      </c>
      <c r="AK13" s="35">
        <f>SUMIF(ssg6.1,teama6,ssr6.2)</f>
        <v>0</v>
      </c>
      <c r="AL13" s="35">
        <f>SUMIF(ssg6.2,teama6,ssr6.1)</f>
        <v>9</v>
      </c>
      <c r="AM13" s="35">
        <f>SUMIF(ssg7.1,teama6,ssr7.1)</f>
        <v>3</v>
      </c>
      <c r="AN13" s="35">
        <f>SUMIF(ssg7.2,teama6,ssr7.2)</f>
        <v>0</v>
      </c>
      <c r="AO13" s="35">
        <f>SUMIF(ssg7.1,teama6,ssr7.2)</f>
        <v>13</v>
      </c>
      <c r="AP13" s="35">
        <f>SUMIF(ssg7.2,teama6,ssr7.1)</f>
        <v>0</v>
      </c>
      <c r="AQ13" s="35">
        <f>SUMIF(ssg8.1,teama6,ssr8.1)</f>
        <v>0</v>
      </c>
      <c r="AR13" s="35">
        <f>SUMIF(ssg8.2,teama6,ssr8.2)</f>
        <v>4</v>
      </c>
      <c r="AS13" s="35">
        <f>SUMIF(ssg8.1,teama6,ssr8.2)</f>
        <v>0</v>
      </c>
      <c r="AT13" s="35">
        <f>SUMIF(ssg8.2,teama6,ssr8.1)</f>
        <v>13</v>
      </c>
      <c r="AU13" s="35">
        <f>SUMIF(ssg9.1,teama6,ssr9.1)</f>
        <v>0</v>
      </c>
      <c r="AV13" s="35">
        <f>SUMIF(ssg9.2,teama6,ssr9.2)</f>
        <v>7</v>
      </c>
      <c r="AW13" s="35">
        <f>SUMIF(ssg9.1,teama6,ssr9.2)</f>
        <v>0</v>
      </c>
      <c r="AX13" s="35">
        <f>SUMIF(ssg9.2,teama6,ssr9.1)</f>
        <v>22</v>
      </c>
      <c r="AY13" s="33">
        <f t="shared" si="27"/>
        <v>43</v>
      </c>
      <c r="AZ13" s="33">
        <f t="shared" si="28"/>
        <v>133</v>
      </c>
      <c r="BD13" s="6">
        <f t="shared" si="2"/>
        <v>0</v>
      </c>
      <c r="BE13" s="6">
        <f t="shared" si="3"/>
        <v>0</v>
      </c>
      <c r="BF13" s="6">
        <f t="shared" si="4"/>
        <v>0</v>
      </c>
      <c r="BG13" s="6">
        <f t="shared" si="5"/>
        <v>0</v>
      </c>
      <c r="BH13" s="6">
        <f t="shared" si="6"/>
        <v>0</v>
      </c>
      <c r="BI13" s="6">
        <f t="shared" si="7"/>
        <v>0</v>
      </c>
      <c r="BJ13" s="6">
        <f t="shared" si="8"/>
        <v>0</v>
      </c>
      <c r="BK13" s="6">
        <f t="shared" si="9"/>
        <v>0</v>
      </c>
      <c r="BL13" s="6">
        <f t="shared" si="10"/>
        <v>0</v>
      </c>
      <c r="BM13" s="33">
        <f t="shared" si="29"/>
        <v>0</v>
      </c>
      <c r="BP13" s="33">
        <f t="shared" si="30"/>
        <v>18</v>
      </c>
      <c r="BQ13" s="33">
        <f t="shared" si="31"/>
        <v>24</v>
      </c>
      <c r="BR13" s="33">
        <f t="shared" si="32"/>
        <v>15</v>
      </c>
      <c r="BS13" s="33">
        <f t="shared" si="33"/>
        <v>28</v>
      </c>
      <c r="BT13" s="33">
        <f t="shared" si="34"/>
        <v>15</v>
      </c>
      <c r="BU13" s="33">
        <f t="shared" si="35"/>
        <v>14</v>
      </c>
      <c r="BV13" s="33">
        <f t="shared" si="36"/>
        <v>16</v>
      </c>
      <c r="BW13" s="33">
        <f t="shared" si="37"/>
        <v>17</v>
      </c>
      <c r="BX13" s="33">
        <f t="shared" si="38"/>
        <v>29</v>
      </c>
      <c r="BY13" s="33"/>
      <c r="BZ13" s="33">
        <f t="shared" si="11"/>
        <v>9</v>
      </c>
      <c r="CA13" s="6">
        <f t="shared" si="12"/>
        <v>429676</v>
      </c>
      <c r="CB13" s="6">
        <f t="shared" si="13"/>
        <v>10</v>
      </c>
      <c r="CC13" s="6" t="str">
        <f t="shared" si="14"/>
        <v>North Tyneside</v>
      </c>
      <c r="CD13" s="6">
        <f t="shared" si="39"/>
        <v>0</v>
      </c>
      <c r="CE13" s="6">
        <f t="shared" si="40"/>
        <v>43</v>
      </c>
      <c r="CF13" s="6">
        <f t="shared" si="40"/>
        <v>133</v>
      </c>
      <c r="CG13" s="6">
        <f t="shared" si="41"/>
        <v>0</v>
      </c>
      <c r="CH13" s="33">
        <f t="shared" si="42"/>
        <v>6</v>
      </c>
      <c r="CI13" s="33">
        <f t="shared" si="43"/>
        <v>9</v>
      </c>
      <c r="CJ13" s="6">
        <v>6</v>
      </c>
      <c r="CK13" s="36">
        <f t="shared" si="15"/>
        <v>3</v>
      </c>
      <c r="CL13" s="37" t="str">
        <f t="shared" si="16"/>
        <v>Essex</v>
      </c>
      <c r="CM13" s="6">
        <f t="shared" si="17"/>
        <v>9</v>
      </c>
      <c r="CN13" s="6">
        <f t="shared" si="18"/>
        <v>10</v>
      </c>
      <c r="CO13" s="6">
        <f t="shared" si="19"/>
        <v>66</v>
      </c>
      <c r="CP13" s="6">
        <f t="shared" si="20"/>
        <v>61</v>
      </c>
      <c r="CQ13" s="6">
        <f t="shared" si="21"/>
        <v>0</v>
      </c>
      <c r="CR13" s="6">
        <f t="shared" si="22"/>
        <v>100660390</v>
      </c>
      <c r="CS13" s="38">
        <f t="shared" si="23"/>
        <v>6</v>
      </c>
      <c r="CU13" s="39" t="str">
        <f t="shared" si="24"/>
        <v>North Tyneside</v>
      </c>
      <c r="CV13" s="40"/>
    </row>
    <row r="14" spans="1:100" s="6" customFormat="1" ht="18">
      <c r="A14" s="41">
        <v>7</v>
      </c>
      <c r="B14" s="42" t="s">
        <v>80</v>
      </c>
      <c r="D14" s="6" t="str">
        <f t="shared" si="0"/>
        <v>Suffolk</v>
      </c>
      <c r="E14" s="6" t="str">
        <f t="shared" si="1"/>
        <v>Essex</v>
      </c>
      <c r="F14" s="78" t="str">
        <f t="shared" si="25"/>
        <v>Suffolk v. Essex</v>
      </c>
      <c r="G14" s="6">
        <f>IF(ISNUMBER(SEARCH("0",F14)),1,2)</f>
        <v>2</v>
      </c>
      <c r="H14" s="33">
        <v>9</v>
      </c>
      <c r="I14" s="6" t="s">
        <v>47</v>
      </c>
      <c r="J14" s="79">
        <v>3</v>
      </c>
      <c r="K14" s="33"/>
      <c r="L14" s="83">
        <v>4</v>
      </c>
      <c r="M14" s="83">
        <v>13</v>
      </c>
      <c r="O14" s="35">
        <f>SUMIF(ssg1.1,teama7,ssr1.1)</f>
        <v>0</v>
      </c>
      <c r="P14" s="35">
        <f>SUMIF(ssg1.2,teama7,ssr1.2)</f>
        <v>6</v>
      </c>
      <c r="Q14" s="35">
        <f>SUMIF(ssg1.1,teama7,ssr1.2)</f>
        <v>0</v>
      </c>
      <c r="R14" s="35">
        <f>SUMIF(ssg1.2,teama7,ssr1.1)</f>
        <v>5</v>
      </c>
      <c r="S14" s="35">
        <f>SUMIF(ssg2.1,teama7,ssr2.1)</f>
        <v>0</v>
      </c>
      <c r="T14" s="35">
        <f>SUMIF(ssg2.2,teama7,ssr2.2)</f>
        <v>13</v>
      </c>
      <c r="U14" s="35">
        <f>SUMIF(ssg2.1,teama7,ssr2.2)</f>
        <v>0</v>
      </c>
      <c r="V14" s="35">
        <f>SUMIF(ssg2.2,teama7,ssr2.1)</f>
        <v>11</v>
      </c>
      <c r="W14" s="35">
        <f>SUMIF(ssg3.1,teama7,ssr3.1)</f>
        <v>0</v>
      </c>
      <c r="X14" s="35">
        <f>SUMIF(ssg3.2,teama7,ssr3.2)</f>
        <v>8</v>
      </c>
      <c r="Y14" s="35">
        <f>SUMIF(ssg3.1,teama7,ssr3.2)</f>
        <v>0</v>
      </c>
      <c r="Z14" s="35">
        <f>SUMIF(ssg3.2,teama7,ssr3.1)</f>
        <v>3</v>
      </c>
      <c r="AA14" s="35">
        <f>SUMIF(ssg4.1,teama7,ssr4.1)</f>
        <v>0</v>
      </c>
      <c r="AB14" s="35">
        <f>SUMIF(ssg4.2,teama7,ssr4.2)</f>
        <v>8</v>
      </c>
      <c r="AC14" s="35">
        <f>SUMIF(ssg4.1,teama7,ssr4.2)</f>
        <v>0</v>
      </c>
      <c r="AD14" s="35">
        <f>SUMIF(ssg4.2,teama7,ssr4.1)</f>
        <v>5</v>
      </c>
      <c r="AE14" s="35">
        <f>SUMIF(ssg5.1,teama7,ssr5.1)</f>
        <v>0</v>
      </c>
      <c r="AF14" s="35">
        <f>SUMIF(ssg5.2,teama7,ssr5.2)</f>
        <v>17</v>
      </c>
      <c r="AG14" s="35">
        <f>SUMIF(ssg5.1,teama7,ssr5.2)</f>
        <v>0</v>
      </c>
      <c r="AH14" s="35">
        <f>SUMIF(ssg5.2,teama7,ssr5.1)</f>
        <v>5</v>
      </c>
      <c r="AI14" s="35">
        <f>SUMIF(ssg6.1,teama7,ssr6.1)</f>
        <v>0</v>
      </c>
      <c r="AJ14" s="35">
        <f>SUMIF(ssg6.2,teama7,ssr6.2)</f>
        <v>6</v>
      </c>
      <c r="AK14" s="35">
        <f>SUMIF(ssg6.1,teama7,ssr6.2)</f>
        <v>0</v>
      </c>
      <c r="AL14" s="35">
        <f>SUMIF(ssg6.2,teama7,ssr6.1)</f>
        <v>6</v>
      </c>
      <c r="AM14" s="35">
        <f>SUMIF(ssg7.1,teama7,ssr7.1)</f>
        <v>0</v>
      </c>
      <c r="AN14" s="35">
        <f>SUMIF(ssg7.2,teama7,ssr7.2)</f>
        <v>13</v>
      </c>
      <c r="AO14" s="35">
        <f>SUMIF(ssg7.1,teama7,ssr7.2)</f>
        <v>0</v>
      </c>
      <c r="AP14" s="35">
        <f>SUMIF(ssg7.2,teama7,ssr7.1)</f>
        <v>3</v>
      </c>
      <c r="AQ14" s="35">
        <f>SUMIF(ssg8.1,teama7,ssr8.1)</f>
        <v>19</v>
      </c>
      <c r="AR14" s="35">
        <f>SUMIF(ssg8.2,teama7,ssr8.2)</f>
        <v>0</v>
      </c>
      <c r="AS14" s="35">
        <f>SUMIF(ssg8.1,teama7,ssr8.2)</f>
        <v>2</v>
      </c>
      <c r="AT14" s="35">
        <f>SUMIF(ssg8.2,teama7,ssr8.1)</f>
        <v>0</v>
      </c>
      <c r="AU14" s="35">
        <f>SUMIF(ssg9.1,teama7,ssr9.1)</f>
        <v>0</v>
      </c>
      <c r="AV14" s="35">
        <f>SUMIF(ssg9.2,teama7,ssr9.2)</f>
        <v>9</v>
      </c>
      <c r="AW14" s="35">
        <f>SUMIF(ssg9.1,teama7,ssr9.2)</f>
        <v>0</v>
      </c>
      <c r="AX14" s="35">
        <f>SUMIF(ssg9.2,teama7,ssr9.1)</f>
        <v>3</v>
      </c>
      <c r="AY14" s="33">
        <f t="shared" si="27"/>
        <v>99</v>
      </c>
      <c r="AZ14" s="33">
        <f t="shared" si="28"/>
        <v>43</v>
      </c>
      <c r="BD14" s="6">
        <f t="shared" si="2"/>
        <v>2</v>
      </c>
      <c r="BE14" s="6">
        <f t="shared" si="3"/>
        <v>2</v>
      </c>
      <c r="BF14" s="6">
        <f t="shared" si="4"/>
        <v>2</v>
      </c>
      <c r="BG14" s="6">
        <f t="shared" si="5"/>
        <v>2</v>
      </c>
      <c r="BH14" s="6">
        <f t="shared" si="6"/>
        <v>2</v>
      </c>
      <c r="BI14" s="6">
        <f t="shared" si="7"/>
        <v>1</v>
      </c>
      <c r="BJ14" s="6">
        <f t="shared" si="8"/>
        <v>2</v>
      </c>
      <c r="BK14" s="6">
        <f t="shared" si="9"/>
        <v>2</v>
      </c>
      <c r="BL14" s="6">
        <f t="shared" si="10"/>
        <v>2</v>
      </c>
      <c r="BM14" s="33">
        <f t="shared" si="29"/>
        <v>17</v>
      </c>
      <c r="BP14" s="33">
        <f t="shared" si="30"/>
        <v>11</v>
      </c>
      <c r="BQ14" s="33">
        <f t="shared" si="31"/>
        <v>24</v>
      </c>
      <c r="BR14" s="33">
        <f t="shared" si="32"/>
        <v>11</v>
      </c>
      <c r="BS14" s="33">
        <f t="shared" si="33"/>
        <v>13</v>
      </c>
      <c r="BT14" s="33">
        <f t="shared" si="34"/>
        <v>22</v>
      </c>
      <c r="BU14" s="33">
        <f t="shared" si="35"/>
        <v>12</v>
      </c>
      <c r="BV14" s="33">
        <f t="shared" si="36"/>
        <v>16</v>
      </c>
      <c r="BW14" s="33">
        <f t="shared" si="37"/>
        <v>21</v>
      </c>
      <c r="BX14" s="33">
        <f t="shared" si="38"/>
        <v>12</v>
      </c>
      <c r="BY14" s="33"/>
      <c r="BZ14" s="33">
        <f t="shared" si="11"/>
        <v>9</v>
      </c>
      <c r="CA14" s="6">
        <f t="shared" si="12"/>
        <v>170990577</v>
      </c>
      <c r="CB14" s="6">
        <f t="shared" si="13"/>
        <v>1</v>
      </c>
      <c r="CC14" s="6" t="str">
        <f t="shared" si="14"/>
        <v>Northumberland</v>
      </c>
      <c r="CD14" s="6">
        <f t="shared" si="39"/>
        <v>17</v>
      </c>
      <c r="CE14" s="6">
        <f t="shared" si="40"/>
        <v>99</v>
      </c>
      <c r="CF14" s="6">
        <f t="shared" si="40"/>
        <v>43</v>
      </c>
      <c r="CG14" s="6">
        <f t="shared" si="41"/>
        <v>0</v>
      </c>
      <c r="CH14" s="33">
        <f t="shared" si="42"/>
        <v>7</v>
      </c>
      <c r="CI14" s="33">
        <f t="shared" si="43"/>
        <v>9</v>
      </c>
      <c r="CJ14" s="6">
        <v>7</v>
      </c>
      <c r="CK14" s="36">
        <f t="shared" si="15"/>
        <v>9</v>
      </c>
      <c r="CL14" s="37" t="str">
        <f t="shared" si="16"/>
        <v>Suffolk</v>
      </c>
      <c r="CM14" s="6">
        <f t="shared" si="17"/>
        <v>9</v>
      </c>
      <c r="CN14" s="6">
        <f t="shared" si="18"/>
        <v>8</v>
      </c>
      <c r="CO14" s="6">
        <f t="shared" si="19"/>
        <v>71</v>
      </c>
      <c r="CP14" s="6">
        <f t="shared" si="20"/>
        <v>64</v>
      </c>
      <c r="CQ14" s="6">
        <f t="shared" si="21"/>
        <v>0</v>
      </c>
      <c r="CR14" s="6">
        <f>((((CN14*1000000)+(CO14*1000)+(CP14-100)*-1))*10)+CQ14</f>
        <v>80710360</v>
      </c>
      <c r="CS14" s="38">
        <f>RANK(CR14,g01tots2)</f>
        <v>7</v>
      </c>
      <c r="CU14" s="39" t="str">
        <f>B14</f>
        <v>Northumberland</v>
      </c>
      <c r="CV14" s="40"/>
    </row>
    <row r="15" spans="1:100" s="6" customFormat="1" ht="18">
      <c r="A15" s="41">
        <v>8</v>
      </c>
      <c r="B15" s="42" t="s">
        <v>79</v>
      </c>
      <c r="D15" s="6" t="str">
        <f t="shared" si="0"/>
        <v>North Tyneside</v>
      </c>
      <c r="E15" s="6" t="str">
        <f t="shared" si="1"/>
        <v>South Tyneside</v>
      </c>
      <c r="F15" s="78" t="str">
        <f t="shared" si="25"/>
        <v>North Tyneside v. South Tyneside</v>
      </c>
      <c r="G15" s="6">
        <f t="shared" si="26"/>
        <v>2</v>
      </c>
      <c r="H15" s="33">
        <v>6</v>
      </c>
      <c r="I15" s="6" t="s">
        <v>47</v>
      </c>
      <c r="J15" s="79">
        <v>8</v>
      </c>
      <c r="K15" s="33"/>
      <c r="L15" s="83">
        <v>6</v>
      </c>
      <c r="M15" s="83">
        <v>18</v>
      </c>
      <c r="O15" s="35">
        <f>SUMIF(ssg1.1,teama8,ssr1.1)</f>
        <v>0</v>
      </c>
      <c r="P15" s="35">
        <f>SUMIF(ssg1.2,teama8,ssr1.2)</f>
        <v>5</v>
      </c>
      <c r="Q15" s="35">
        <f>SUMIF(ssg1.1,teama8,ssr1.2)</f>
        <v>0</v>
      </c>
      <c r="R15" s="35">
        <f>SUMIF(ssg1.2,teama8,ssr1.1)</f>
        <v>6</v>
      </c>
      <c r="S15" s="35">
        <f>SUMIF(ssg2.1,teama8,ssr2.1)</f>
        <v>0</v>
      </c>
      <c r="T15" s="35">
        <f>SUMIF(ssg2.2,teama8,ssr2.2)</f>
        <v>18</v>
      </c>
      <c r="U15" s="35">
        <f>SUMIF(ssg2.1,teama8,ssr2.2)</f>
        <v>0</v>
      </c>
      <c r="V15" s="35">
        <f>SUMIF(ssg2.2,teama8,ssr2.1)</f>
        <v>6</v>
      </c>
      <c r="W15" s="35">
        <f>SUMIF(ssg3.1,teama8,ssr3.1)</f>
        <v>0</v>
      </c>
      <c r="X15" s="35">
        <f>SUMIF(ssg3.2,teama8,ssr3.2)</f>
        <v>3</v>
      </c>
      <c r="Y15" s="35">
        <f>SUMIF(ssg3.1,teama8,ssr3.2)</f>
        <v>0</v>
      </c>
      <c r="Z15" s="35">
        <f>SUMIF(ssg3.2,teama8,ssr3.1)</f>
        <v>13</v>
      </c>
      <c r="AA15" s="35">
        <f>SUMIF(ssg4.1,teama8,ssr4.1)</f>
        <v>0</v>
      </c>
      <c r="AB15" s="35">
        <f>SUMIF(ssg4.2,teama8,ssr4.2)</f>
        <v>4</v>
      </c>
      <c r="AC15" s="35">
        <f>SUMIF(ssg4.1,teama8,ssr4.2)</f>
        <v>0</v>
      </c>
      <c r="AD15" s="35">
        <f>SUMIF(ssg4.2,teama8,ssr4.1)</f>
        <v>6</v>
      </c>
      <c r="AE15" s="35">
        <f>SUMIF(ssg5.1,teama8,ssr5.1)</f>
        <v>0</v>
      </c>
      <c r="AF15" s="35">
        <f>SUMIF(ssg5.2,teama8,ssr5.2)</f>
        <v>0</v>
      </c>
      <c r="AG15" s="35">
        <f>SUMIF(ssg5.1,teama8,ssr5.2)</f>
        <v>0</v>
      </c>
      <c r="AH15" s="35">
        <f>SUMIF(ssg5.2,teama8,ssr5.1)</f>
        <v>10</v>
      </c>
      <c r="AI15" s="35">
        <f>SUMIF(ssg6.1,teama8,ssr6.1)</f>
        <v>0</v>
      </c>
      <c r="AJ15" s="35">
        <f>SUMIF(ssg6.2,teama8,ssr6.2)</f>
        <v>3</v>
      </c>
      <c r="AK15" s="35">
        <f>SUMIF(ssg6.1,teama8,ssr6.2)</f>
        <v>0</v>
      </c>
      <c r="AL15" s="35">
        <f>SUMIF(ssg6.2,teama8,ssr6.1)</f>
        <v>12</v>
      </c>
      <c r="AM15" s="35">
        <f>SUMIF(ssg7.1,teama8,ssr7.1)</f>
        <v>0</v>
      </c>
      <c r="AN15" s="35">
        <f>SUMIF(ssg7.2,teama8,ssr7.2)</f>
        <v>3</v>
      </c>
      <c r="AO15" s="35">
        <f>SUMIF(ssg7.1,teama8,ssr7.2)</f>
        <v>0</v>
      </c>
      <c r="AP15" s="35">
        <f>SUMIF(ssg7.2,teama8,ssr7.1)</f>
        <v>10</v>
      </c>
      <c r="AQ15" s="35">
        <f>SUMIF(ssg8.1,teama8,ssr8.1)</f>
        <v>0</v>
      </c>
      <c r="AR15" s="35">
        <f>SUMIF(ssg8.2,teama8,ssr8.2)</f>
        <v>2</v>
      </c>
      <c r="AS15" s="35">
        <f>SUMIF(ssg8.1,teama8,ssr8.2)</f>
        <v>0</v>
      </c>
      <c r="AT15" s="35">
        <f>SUMIF(ssg8.2,teama8,ssr8.1)</f>
        <v>19</v>
      </c>
      <c r="AU15" s="35">
        <f>SUMIF(ssg9.1,teama8,ssr9.1)</f>
        <v>0</v>
      </c>
      <c r="AV15" s="35">
        <f>SUMIF(ssg9.2,teama8,ssr9.2)</f>
        <v>5</v>
      </c>
      <c r="AW15" s="35">
        <f>SUMIF(ssg9.1,teama8,ssr9.2)</f>
        <v>0</v>
      </c>
      <c r="AX15" s="35">
        <f>SUMIF(ssg9.2,teama8,ssr9.1)</f>
        <v>19</v>
      </c>
      <c r="AY15" s="33">
        <f t="shared" si="27"/>
        <v>43</v>
      </c>
      <c r="AZ15" s="33">
        <f t="shared" si="28"/>
        <v>101</v>
      </c>
      <c r="BD15" s="6">
        <f t="shared" si="2"/>
        <v>0</v>
      </c>
      <c r="BE15" s="6">
        <f t="shared" si="3"/>
        <v>2</v>
      </c>
      <c r="BF15" s="6">
        <f t="shared" si="4"/>
        <v>0</v>
      </c>
      <c r="BG15" s="6">
        <f t="shared" si="5"/>
        <v>0</v>
      </c>
      <c r="BH15" s="6">
        <f t="shared" si="6"/>
        <v>0</v>
      </c>
      <c r="BI15" s="6">
        <f t="shared" si="7"/>
        <v>0</v>
      </c>
      <c r="BJ15" s="6">
        <f t="shared" si="8"/>
        <v>0</v>
      </c>
      <c r="BK15" s="6">
        <f t="shared" si="9"/>
        <v>0</v>
      </c>
      <c r="BL15" s="6">
        <f t="shared" si="10"/>
        <v>0</v>
      </c>
      <c r="BM15" s="33">
        <f t="shared" si="29"/>
        <v>2</v>
      </c>
      <c r="BP15" s="33">
        <f t="shared" si="30"/>
        <v>11</v>
      </c>
      <c r="BQ15" s="33">
        <f t="shared" si="31"/>
        <v>24</v>
      </c>
      <c r="BR15" s="33">
        <f t="shared" si="32"/>
        <v>16</v>
      </c>
      <c r="BS15" s="33">
        <f t="shared" si="33"/>
        <v>10</v>
      </c>
      <c r="BT15" s="33">
        <f t="shared" si="34"/>
        <v>10</v>
      </c>
      <c r="BU15" s="33">
        <f t="shared" si="35"/>
        <v>15</v>
      </c>
      <c r="BV15" s="33">
        <f t="shared" si="36"/>
        <v>13</v>
      </c>
      <c r="BW15" s="33">
        <f t="shared" si="37"/>
        <v>21</v>
      </c>
      <c r="BX15" s="33">
        <f t="shared" si="38"/>
        <v>24</v>
      </c>
      <c r="BY15" s="33"/>
      <c r="BZ15" s="33">
        <f t="shared" si="11"/>
        <v>9</v>
      </c>
      <c r="CA15" s="6">
        <f t="shared" si="12"/>
        <v>20429998</v>
      </c>
      <c r="CB15" s="6">
        <f t="shared" si="13"/>
        <v>9</v>
      </c>
      <c r="CC15" s="6" t="str">
        <f t="shared" si="14"/>
        <v>South Tyneside</v>
      </c>
      <c r="CD15" s="6">
        <f t="shared" si="39"/>
        <v>2</v>
      </c>
      <c r="CE15" s="6">
        <f t="shared" si="40"/>
        <v>43</v>
      </c>
      <c r="CF15" s="6">
        <f t="shared" si="40"/>
        <v>101</v>
      </c>
      <c r="CG15" s="6">
        <f t="shared" si="41"/>
        <v>0</v>
      </c>
      <c r="CH15" s="33">
        <f t="shared" si="42"/>
        <v>8</v>
      </c>
      <c r="CI15" s="33">
        <f t="shared" si="43"/>
        <v>9</v>
      </c>
      <c r="CJ15" s="6">
        <v>8</v>
      </c>
      <c r="CK15" s="36">
        <f t="shared" si="15"/>
        <v>2</v>
      </c>
      <c r="CL15" s="37" t="str">
        <f t="shared" si="16"/>
        <v>Durham</v>
      </c>
      <c r="CM15" s="6">
        <f t="shared" si="17"/>
        <v>9</v>
      </c>
      <c r="CN15" s="6">
        <f t="shared" si="18"/>
        <v>4</v>
      </c>
      <c r="CO15" s="6">
        <f t="shared" si="19"/>
        <v>52</v>
      </c>
      <c r="CP15" s="6">
        <f t="shared" si="20"/>
        <v>97</v>
      </c>
      <c r="CQ15" s="6">
        <f t="shared" si="21"/>
        <v>0</v>
      </c>
      <c r="CR15" s="6">
        <f>((((CN15*1000000)+(CO15*1000)+(CP15-100)*-1))*10)+CQ15</f>
        <v>40520030</v>
      </c>
      <c r="CS15" s="38">
        <f>RANK(CR15,g01tots2)</f>
        <v>8</v>
      </c>
      <c r="CU15" s="39" t="str">
        <f>B15</f>
        <v>South Tyneside</v>
      </c>
      <c r="CV15" s="40"/>
    </row>
    <row r="16" spans="1:100" s="6" customFormat="1" ht="18">
      <c r="A16" s="41">
        <v>9</v>
      </c>
      <c r="B16" s="42" t="s">
        <v>54</v>
      </c>
      <c r="D16" s="6" t="str">
        <f t="shared" si="0"/>
        <v>Sunderland</v>
      </c>
      <c r="E16" s="6" t="str">
        <f t="shared" si="1"/>
        <v>Hertfordshire</v>
      </c>
      <c r="F16" s="78" t="str">
        <f t="shared" si="25"/>
        <v>Sunderland v. Hertfordshire</v>
      </c>
      <c r="G16" s="6">
        <f t="shared" si="26"/>
        <v>2</v>
      </c>
      <c r="H16" s="33">
        <v>10</v>
      </c>
      <c r="I16" s="6" t="s">
        <v>47</v>
      </c>
      <c r="J16" s="79">
        <v>4</v>
      </c>
      <c r="K16" s="33"/>
      <c r="L16" s="83">
        <v>8</v>
      </c>
      <c r="M16" s="83">
        <v>4</v>
      </c>
      <c r="O16" s="35">
        <f>SUMIF(ssg1.1,teama9,ssr1.1)</f>
        <v>10</v>
      </c>
      <c r="P16" s="35">
        <f>SUMIF(ssg1.2,teama9,ssr1.2)</f>
        <v>0</v>
      </c>
      <c r="Q16" s="35">
        <f>SUMIF(ssg1.1,teama9,ssr1.2)</f>
        <v>2</v>
      </c>
      <c r="R16" s="35">
        <f>SUMIF(ssg1.2,teama9,ssr1.1)</f>
        <v>0</v>
      </c>
      <c r="S16" s="35">
        <f>SUMIF(ssg2.1,teama9,ssr2.1)</f>
        <v>4</v>
      </c>
      <c r="T16" s="35">
        <f>SUMIF(ssg2.2,teama9,ssr2.2)</f>
        <v>0</v>
      </c>
      <c r="U16" s="35">
        <f>SUMIF(ssg2.1,teama9,ssr2.2)</f>
        <v>13</v>
      </c>
      <c r="V16" s="35">
        <f>SUMIF(ssg2.2,teama9,ssr2.1)</f>
        <v>0</v>
      </c>
      <c r="W16" s="35">
        <f>SUMIF(ssg3.1,teama9,ssr3.1)</f>
        <v>3</v>
      </c>
      <c r="X16" s="35">
        <f>SUMIF(ssg3.2,teama9,ssr3.2)</f>
        <v>0</v>
      </c>
      <c r="Y16" s="35">
        <f>SUMIF(ssg3.1,teama9,ssr3.2)</f>
        <v>9</v>
      </c>
      <c r="Z16" s="35">
        <f>SUMIF(ssg3.2,teama9,ssr3.1)</f>
        <v>0</v>
      </c>
      <c r="AA16" s="35">
        <f>SUMIF(ssg4.1,teama9,ssr4.1)</f>
        <v>5</v>
      </c>
      <c r="AB16" s="35">
        <f>SUMIF(ssg4.2,teama9,ssr4.2)</f>
        <v>0</v>
      </c>
      <c r="AC16" s="35">
        <f>SUMIF(ssg4.1,teama9,ssr4.2)</f>
        <v>8</v>
      </c>
      <c r="AD16" s="35">
        <f>SUMIF(ssg4.2,teama9,ssr4.1)</f>
        <v>0</v>
      </c>
      <c r="AE16" s="35">
        <f>SUMIF(ssg5.1,teama9,ssr5.1)</f>
        <v>10</v>
      </c>
      <c r="AF16" s="35">
        <f>SUMIF(ssg5.2,teama9,ssr5.2)</f>
        <v>0</v>
      </c>
      <c r="AG16" s="35">
        <f>SUMIF(ssg5.1,teama9,ssr5.2)</f>
        <v>0</v>
      </c>
      <c r="AH16" s="35">
        <f>SUMIF(ssg5.2,teama9,ssr5.1)</f>
        <v>0</v>
      </c>
      <c r="AI16" s="35">
        <f>SUMIF(ssg6.1,teama9,ssr6.1)</f>
        <v>1</v>
      </c>
      <c r="AJ16" s="35">
        <f>SUMIF(ssg6.2,teama9,ssr6.2)</f>
        <v>0</v>
      </c>
      <c r="AK16" s="35">
        <f>SUMIF(ssg6.1,teama9,ssr6.2)</f>
        <v>14</v>
      </c>
      <c r="AL16" s="35">
        <f>SUMIF(ssg6.2,teama9,ssr6.1)</f>
        <v>0</v>
      </c>
      <c r="AM16" s="35">
        <f>SUMIF(ssg7.1,teama9,ssr7.1)</f>
        <v>13</v>
      </c>
      <c r="AN16" s="35">
        <f>SUMIF(ssg7.2,teama9,ssr7.2)</f>
        <v>0</v>
      </c>
      <c r="AO16" s="35">
        <f>SUMIF(ssg7.1,teama9,ssr7.2)</f>
        <v>2</v>
      </c>
      <c r="AP16" s="35">
        <f>SUMIF(ssg7.2,teama9,ssr7.1)</f>
        <v>0</v>
      </c>
      <c r="AQ16" s="35">
        <f>SUMIF(ssg8.1,teama9,ssr8.1)</f>
        <v>3</v>
      </c>
      <c r="AR16" s="35">
        <f>SUMIF(ssg8.2,teama9,ssr8.2)</f>
        <v>0</v>
      </c>
      <c r="AS16" s="35">
        <f>SUMIF(ssg8.1,teama9,ssr8.2)</f>
        <v>9</v>
      </c>
      <c r="AT16" s="35">
        <f>SUMIF(ssg8.2,teama9,ssr8.1)</f>
        <v>0</v>
      </c>
      <c r="AU16" s="35">
        <f>SUMIF(ssg9.1,teama9,ssr9.1)</f>
        <v>22</v>
      </c>
      <c r="AV16" s="35">
        <f>SUMIF(ssg9.2,teama9,ssr9.2)</f>
        <v>0</v>
      </c>
      <c r="AW16" s="35">
        <f>SUMIF(ssg9.1,teama9,ssr9.2)</f>
        <v>7</v>
      </c>
      <c r="AX16" s="35">
        <f>SUMIF(ssg9.2,teama9,ssr9.1)</f>
        <v>0</v>
      </c>
      <c r="AY16" s="33">
        <f t="shared" si="27"/>
        <v>71</v>
      </c>
      <c r="AZ16" s="33">
        <f t="shared" si="28"/>
        <v>64</v>
      </c>
      <c r="BD16" s="6">
        <f t="shared" si="2"/>
        <v>2</v>
      </c>
      <c r="BE16" s="6">
        <f t="shared" si="3"/>
        <v>0</v>
      </c>
      <c r="BF16" s="6">
        <f t="shared" si="4"/>
        <v>0</v>
      </c>
      <c r="BG16" s="6">
        <f t="shared" si="5"/>
        <v>0</v>
      </c>
      <c r="BH16" s="6">
        <f t="shared" si="6"/>
        <v>2</v>
      </c>
      <c r="BI16" s="6">
        <f t="shared" si="7"/>
        <v>0</v>
      </c>
      <c r="BJ16" s="6">
        <f t="shared" si="8"/>
        <v>2</v>
      </c>
      <c r="BK16" s="6">
        <f t="shared" si="9"/>
        <v>0</v>
      </c>
      <c r="BL16" s="6">
        <f t="shared" si="10"/>
        <v>2</v>
      </c>
      <c r="BM16" s="33">
        <f t="shared" si="29"/>
        <v>8</v>
      </c>
      <c r="BP16" s="33">
        <f t="shared" si="30"/>
        <v>12</v>
      </c>
      <c r="BQ16" s="33">
        <f t="shared" si="31"/>
        <v>17</v>
      </c>
      <c r="BR16" s="33">
        <f t="shared" si="32"/>
        <v>12</v>
      </c>
      <c r="BS16" s="33">
        <f t="shared" si="33"/>
        <v>13</v>
      </c>
      <c r="BT16" s="33">
        <f t="shared" si="34"/>
        <v>10</v>
      </c>
      <c r="BU16" s="33">
        <f t="shared" si="35"/>
        <v>15</v>
      </c>
      <c r="BV16" s="33">
        <f t="shared" si="36"/>
        <v>15</v>
      </c>
      <c r="BW16" s="33">
        <f t="shared" si="37"/>
        <v>12</v>
      </c>
      <c r="BX16" s="33">
        <f t="shared" si="38"/>
        <v>29</v>
      </c>
      <c r="BY16" s="33"/>
      <c r="BZ16" s="33">
        <f t="shared" si="11"/>
        <v>9</v>
      </c>
      <c r="CA16" s="6">
        <f t="shared" si="12"/>
        <v>80710369</v>
      </c>
      <c r="CB16" s="6">
        <f t="shared" si="13"/>
        <v>7</v>
      </c>
      <c r="CC16" s="6" t="str">
        <f t="shared" si="14"/>
        <v>Suffolk</v>
      </c>
      <c r="CD16" s="6">
        <f t="shared" si="39"/>
        <v>8</v>
      </c>
      <c r="CE16" s="6">
        <f t="shared" si="40"/>
        <v>71</v>
      </c>
      <c r="CF16" s="6">
        <f t="shared" si="40"/>
        <v>64</v>
      </c>
      <c r="CG16" s="6">
        <f t="shared" si="41"/>
        <v>0</v>
      </c>
      <c r="CH16" s="33">
        <f t="shared" si="42"/>
        <v>9</v>
      </c>
      <c r="CI16" s="33">
        <f t="shared" si="43"/>
        <v>9</v>
      </c>
      <c r="CJ16" s="6">
        <v>9</v>
      </c>
      <c r="CK16" s="36">
        <f t="shared" si="15"/>
        <v>8</v>
      </c>
      <c r="CL16" s="37" t="str">
        <f t="shared" si="16"/>
        <v>South Tyneside</v>
      </c>
      <c r="CM16" s="6">
        <f t="shared" si="17"/>
        <v>9</v>
      </c>
      <c r="CN16" s="6">
        <f t="shared" si="18"/>
        <v>2</v>
      </c>
      <c r="CO16" s="6">
        <f t="shared" si="19"/>
        <v>43</v>
      </c>
      <c r="CP16" s="6">
        <f t="shared" si="20"/>
        <v>101</v>
      </c>
      <c r="CQ16" s="6">
        <f t="shared" si="21"/>
        <v>0</v>
      </c>
      <c r="CR16" s="6">
        <f>((((CN16*1000000)+(CO16*1000)+(CP16-100)*-1))*10)+CQ16</f>
        <v>20429990</v>
      </c>
      <c r="CS16" s="38">
        <f>RANK(CR16,g01tots2)</f>
        <v>9</v>
      </c>
      <c r="CU16" s="39" t="str">
        <f>B16</f>
        <v>Suffolk</v>
      </c>
      <c r="CV16" s="40"/>
    </row>
    <row r="17" spans="1:100" s="6" customFormat="1" ht="18.75">
      <c r="A17" s="43">
        <v>10</v>
      </c>
      <c r="B17" s="44" t="s">
        <v>55</v>
      </c>
      <c r="C17" s="45"/>
      <c r="D17" s="6" t="str">
        <f t="shared" si="0"/>
        <v>Durham</v>
      </c>
      <c r="E17" s="6" t="str">
        <f t="shared" si="1"/>
        <v>Norfolk</v>
      </c>
      <c r="F17" s="80" t="str">
        <f t="shared" si="25"/>
        <v>Durham v. Norfolk</v>
      </c>
      <c r="G17" s="47">
        <f t="shared" si="26"/>
        <v>2</v>
      </c>
      <c r="H17" s="81">
        <v>2</v>
      </c>
      <c r="I17" s="47" t="s">
        <v>47</v>
      </c>
      <c r="J17" s="82">
        <v>5</v>
      </c>
      <c r="K17" s="33"/>
      <c r="L17" s="83">
        <v>6</v>
      </c>
      <c r="M17" s="83">
        <v>10</v>
      </c>
      <c r="O17" s="35">
        <f>SUMIF(ssg1.1,teama10,ssr1.1)</f>
        <v>9</v>
      </c>
      <c r="P17" s="35">
        <f>SUMIF(ssg1.2,teama10,ssr1.2)</f>
        <v>0</v>
      </c>
      <c r="Q17" s="35">
        <f>SUMIF(ssg1.1,teama10,ssr1.2)</f>
        <v>8</v>
      </c>
      <c r="R17" s="35">
        <f>SUMIF(ssg1.2,teama10,ssr1.1)</f>
        <v>0</v>
      </c>
      <c r="S17" s="35">
        <f>SUMIF(ssg2.1,teama10,ssr2.1)</f>
        <v>8</v>
      </c>
      <c r="T17" s="35">
        <f>SUMIF(ssg2.2,teama10,ssr2.2)</f>
        <v>0</v>
      </c>
      <c r="U17" s="35">
        <f>SUMIF(ssg2.1,teama10,ssr2.2)</f>
        <v>4</v>
      </c>
      <c r="V17" s="35">
        <f>SUMIF(ssg2.2,teama10,ssr2.1)</f>
        <v>0</v>
      </c>
      <c r="W17" s="35">
        <f>SUMIF(ssg3.1,teama10,ssr3.1)</f>
        <v>10</v>
      </c>
      <c r="X17" s="35">
        <f>SUMIF(ssg3.2,teama10,ssr3.2)</f>
        <v>0</v>
      </c>
      <c r="Y17" s="35">
        <f>SUMIF(ssg3.1,teama10,ssr3.2)</f>
        <v>4</v>
      </c>
      <c r="Z17" s="35">
        <f>SUMIF(ssg3.2,teama10,ssr3.1)</f>
        <v>0</v>
      </c>
      <c r="AA17" s="35">
        <f>SUMIF(ssg4.1,teama10,ssr4.1)</f>
        <v>24</v>
      </c>
      <c r="AB17" s="35">
        <f>SUMIF(ssg4.2,teama10,ssr4.2)</f>
        <v>0</v>
      </c>
      <c r="AC17" s="35">
        <f>SUMIF(ssg4.1,teama10,ssr4.2)</f>
        <v>4</v>
      </c>
      <c r="AD17" s="35">
        <f>SUMIF(ssg4.2,teama10,ssr4.1)</f>
        <v>0</v>
      </c>
      <c r="AE17" s="35">
        <f>SUMIF(ssg5.1,teama10,ssr5.1)</f>
        <v>9</v>
      </c>
      <c r="AF17" s="35">
        <f>SUMIF(ssg5.2,teama10,ssr5.2)</f>
        <v>0</v>
      </c>
      <c r="AG17" s="35">
        <f>SUMIF(ssg5.1,teama10,ssr5.2)</f>
        <v>6</v>
      </c>
      <c r="AH17" s="35">
        <f>SUMIF(ssg5.2,teama10,ssr5.1)</f>
        <v>0</v>
      </c>
      <c r="AI17" s="35">
        <f>SUMIF(ssg6.1,teama10,ssr6.1)</f>
        <v>6</v>
      </c>
      <c r="AJ17" s="35">
        <f>SUMIF(ssg6.2,teama10,ssr6.2)</f>
        <v>0</v>
      </c>
      <c r="AK17" s="35">
        <f>SUMIF(ssg6.1,teama10,ssr6.2)</f>
        <v>6</v>
      </c>
      <c r="AL17" s="35">
        <f>SUMIF(ssg6.2,teama10,ssr6.1)</f>
        <v>0</v>
      </c>
      <c r="AM17" s="35">
        <f>SUMIF(ssg7.1,teama10,ssr7.1)</f>
        <v>10</v>
      </c>
      <c r="AN17" s="35">
        <f>SUMIF(ssg7.2,teama10,ssr7.2)</f>
        <v>0</v>
      </c>
      <c r="AO17" s="35">
        <f>SUMIF(ssg7.1,teama10,ssr7.2)</f>
        <v>3</v>
      </c>
      <c r="AP17" s="35">
        <f>SUMIF(ssg7.2,teama10,ssr7.1)</f>
        <v>0</v>
      </c>
      <c r="AQ17" s="35">
        <f>SUMIF(ssg8.1,teama10,ssr8.1)</f>
        <v>0</v>
      </c>
      <c r="AR17" s="35">
        <f>SUMIF(ssg8.2,teama10,ssr8.2)</f>
        <v>9</v>
      </c>
      <c r="AS17" s="35">
        <f>SUMIF(ssg8.1,teama10,ssr8.2)</f>
        <v>0</v>
      </c>
      <c r="AT17" s="35">
        <f>SUMIF(ssg8.2,teama10,ssr8.1)</f>
        <v>3</v>
      </c>
      <c r="AU17" s="35">
        <f>SUMIF(ssg9.1,teama10,ssr9.1)</f>
        <v>11</v>
      </c>
      <c r="AV17" s="35">
        <f>SUMIF(ssg9.2,teama10,ssr9.2)</f>
        <v>0</v>
      </c>
      <c r="AW17" s="35">
        <f>SUMIF(ssg9.1,teama10,ssr9.2)</f>
        <v>5</v>
      </c>
      <c r="AX17" s="35">
        <f>SUMIF(ssg9.2,teama10,ssr9.1)</f>
        <v>0</v>
      </c>
      <c r="AY17" s="33">
        <f t="shared" si="27"/>
        <v>96</v>
      </c>
      <c r="AZ17" s="33">
        <f t="shared" si="28"/>
        <v>43</v>
      </c>
      <c r="BD17" s="6">
        <f t="shared" si="2"/>
        <v>2</v>
      </c>
      <c r="BE17" s="6">
        <f t="shared" si="3"/>
        <v>2</v>
      </c>
      <c r="BF17" s="6">
        <f t="shared" si="4"/>
        <v>2</v>
      </c>
      <c r="BG17" s="6">
        <f t="shared" si="5"/>
        <v>2</v>
      </c>
      <c r="BH17" s="6">
        <f t="shared" si="6"/>
        <v>2</v>
      </c>
      <c r="BI17" s="6">
        <f t="shared" si="7"/>
        <v>1</v>
      </c>
      <c r="BJ17" s="6">
        <f t="shared" si="8"/>
        <v>2</v>
      </c>
      <c r="BK17" s="6">
        <f t="shared" si="9"/>
        <v>2</v>
      </c>
      <c r="BL17" s="6">
        <f t="shared" si="10"/>
        <v>2</v>
      </c>
      <c r="BM17" s="33">
        <f t="shared" si="29"/>
        <v>17</v>
      </c>
      <c r="BP17" s="33">
        <f t="shared" si="30"/>
        <v>17</v>
      </c>
      <c r="BQ17" s="33">
        <f t="shared" si="31"/>
        <v>12</v>
      </c>
      <c r="BR17" s="33">
        <f t="shared" si="32"/>
        <v>14</v>
      </c>
      <c r="BS17" s="33">
        <f t="shared" si="33"/>
        <v>28</v>
      </c>
      <c r="BT17" s="33">
        <f t="shared" si="34"/>
        <v>15</v>
      </c>
      <c r="BU17" s="33">
        <f t="shared" si="35"/>
        <v>12</v>
      </c>
      <c r="BV17" s="33">
        <f t="shared" si="36"/>
        <v>13</v>
      </c>
      <c r="BW17" s="33">
        <f t="shared" si="37"/>
        <v>12</v>
      </c>
      <c r="BX17" s="33">
        <f t="shared" si="38"/>
        <v>16</v>
      </c>
      <c r="BY17" s="33"/>
      <c r="BZ17" s="33">
        <f>COUNTIF(BP17:BX17,"&gt;0")</f>
        <v>9</v>
      </c>
      <c r="CA17" s="6">
        <f t="shared" si="12"/>
        <v>170960580</v>
      </c>
      <c r="CB17" s="6">
        <f t="shared" si="13"/>
        <v>2</v>
      </c>
      <c r="CC17" s="6" t="str">
        <f t="shared" si="14"/>
        <v>Sunderland</v>
      </c>
      <c r="CD17" s="6">
        <f t="shared" si="39"/>
        <v>17</v>
      </c>
      <c r="CE17" s="6">
        <f t="shared" si="40"/>
        <v>96</v>
      </c>
      <c r="CF17" s="6">
        <f t="shared" si="40"/>
        <v>43</v>
      </c>
      <c r="CG17" s="6">
        <f t="shared" si="41"/>
        <v>0</v>
      </c>
      <c r="CH17" s="33">
        <f t="shared" si="42"/>
        <v>10</v>
      </c>
      <c r="CI17" s="33">
        <f t="shared" si="43"/>
        <v>9</v>
      </c>
      <c r="CJ17" s="6">
        <v>10</v>
      </c>
      <c r="CK17" s="36">
        <f t="shared" si="15"/>
        <v>6</v>
      </c>
      <c r="CL17" s="46" t="str">
        <f t="shared" si="16"/>
        <v>North Tyneside</v>
      </c>
      <c r="CM17" s="47">
        <f t="shared" si="17"/>
        <v>9</v>
      </c>
      <c r="CN17" s="47">
        <f t="shared" si="18"/>
        <v>0</v>
      </c>
      <c r="CO17" s="47">
        <f t="shared" si="19"/>
        <v>43</v>
      </c>
      <c r="CP17" s="47">
        <f t="shared" si="20"/>
        <v>133</v>
      </c>
      <c r="CQ17" s="47">
        <f t="shared" si="21"/>
        <v>0</v>
      </c>
      <c r="CR17" s="47">
        <f>((((CN17*1000000)+(CO17*1000)+(CP17-100)*-1))*10)+CQ17</f>
        <v>429670</v>
      </c>
      <c r="CS17" s="48">
        <f>RANK(CR17,g01tots2)</f>
        <v>10</v>
      </c>
      <c r="CU17" s="49" t="str">
        <f>B17</f>
        <v>Sunderland</v>
      </c>
      <c r="CV17" s="50"/>
    </row>
    <row r="18" spans="1:97" s="6" customFormat="1" ht="18.75">
      <c r="A18" s="33"/>
      <c r="B18" s="36"/>
      <c r="C18" s="45"/>
      <c r="D18" s="6" t="str">
        <f t="shared" si="0"/>
        <v>Suffolk</v>
      </c>
      <c r="E18" s="6" t="str">
        <f t="shared" si="1"/>
        <v>Hertfordshire</v>
      </c>
      <c r="F18" s="74" t="str">
        <f t="shared" si="25"/>
        <v>Suffolk v. Hertfordshire</v>
      </c>
      <c r="G18" s="75">
        <f t="shared" si="26"/>
        <v>2</v>
      </c>
      <c r="H18" s="76">
        <v>9</v>
      </c>
      <c r="I18" s="75" t="s">
        <v>47</v>
      </c>
      <c r="J18" s="77">
        <v>4</v>
      </c>
      <c r="K18" s="33"/>
      <c r="L18" s="83">
        <v>3</v>
      </c>
      <c r="M18" s="83">
        <v>9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Y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H18" s="33"/>
      <c r="CI18" s="33"/>
      <c r="CK18" s="36"/>
      <c r="CL18" s="36"/>
      <c r="CS18" s="51"/>
    </row>
    <row r="19" spans="1:97" s="6" customFormat="1" ht="18.75">
      <c r="A19" s="33"/>
      <c r="B19" s="36"/>
      <c r="C19" s="45"/>
      <c r="D19" s="6" t="str">
        <f t="shared" si="0"/>
        <v>Durham</v>
      </c>
      <c r="E19" s="6" t="str">
        <f t="shared" si="1"/>
        <v>Northumberland</v>
      </c>
      <c r="F19" s="78" t="str">
        <f t="shared" si="25"/>
        <v>Durham v. Northumberland</v>
      </c>
      <c r="G19" s="6">
        <f t="shared" si="26"/>
        <v>2</v>
      </c>
      <c r="H19" s="33">
        <v>2</v>
      </c>
      <c r="I19" s="6" t="s">
        <v>47</v>
      </c>
      <c r="J19" s="79">
        <v>7</v>
      </c>
      <c r="K19" s="33"/>
      <c r="L19" s="83">
        <v>3</v>
      </c>
      <c r="M19" s="83">
        <v>8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Y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H19" s="33"/>
      <c r="CI19" s="33"/>
      <c r="CK19" s="36"/>
      <c r="CL19" s="36"/>
      <c r="CS19" s="51"/>
    </row>
    <row r="20" spans="1:97" s="6" customFormat="1" ht="18.75">
      <c r="A20" s="33"/>
      <c r="B20" s="36"/>
      <c r="C20" s="45"/>
      <c r="D20" s="6" t="str">
        <f t="shared" si="0"/>
        <v>Sunderland</v>
      </c>
      <c r="E20" s="6" t="str">
        <f t="shared" si="1"/>
        <v>Norfolk</v>
      </c>
      <c r="F20" s="78" t="str">
        <f t="shared" si="25"/>
        <v>Sunderland v. Norfolk</v>
      </c>
      <c r="G20" s="6">
        <f>IF(ISNUMBER(SEARCH("0",F20)),1,2)</f>
        <v>2</v>
      </c>
      <c r="H20" s="33">
        <v>10</v>
      </c>
      <c r="I20" s="6" t="s">
        <v>47</v>
      </c>
      <c r="J20" s="79">
        <v>5</v>
      </c>
      <c r="K20" s="33"/>
      <c r="L20" s="83">
        <v>10</v>
      </c>
      <c r="M20" s="83">
        <v>4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H20" s="33"/>
      <c r="CI20" s="33"/>
      <c r="CK20" s="36"/>
      <c r="CL20" s="36"/>
      <c r="CS20" s="51"/>
    </row>
    <row r="21" spans="1:97" s="6" customFormat="1" ht="18.75">
      <c r="A21" s="33"/>
      <c r="B21" s="36"/>
      <c r="C21" s="45"/>
      <c r="D21" s="6" t="str">
        <f t="shared" si="0"/>
        <v>Essex</v>
      </c>
      <c r="E21" s="6" t="str">
        <f t="shared" si="1"/>
        <v>North Tyneside</v>
      </c>
      <c r="F21" s="78" t="str">
        <f t="shared" si="25"/>
        <v>Essex v. North Tyneside</v>
      </c>
      <c r="G21" s="6">
        <f t="shared" si="26"/>
        <v>2</v>
      </c>
      <c r="H21" s="33">
        <v>3</v>
      </c>
      <c r="I21" s="6" t="s">
        <v>47</v>
      </c>
      <c r="J21" s="79">
        <v>6</v>
      </c>
      <c r="K21" s="33"/>
      <c r="L21" s="83">
        <v>12</v>
      </c>
      <c r="M21" s="83">
        <v>3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H21" s="33"/>
      <c r="CI21" s="33"/>
      <c r="CK21" s="36"/>
      <c r="CL21" s="36"/>
      <c r="CS21" s="51"/>
    </row>
    <row r="22" spans="1:97" s="6" customFormat="1" ht="18">
      <c r="A22" s="33"/>
      <c r="B22" s="36"/>
      <c r="D22" s="6" t="str">
        <f t="shared" si="0"/>
        <v>Cambridgeshire</v>
      </c>
      <c r="E22" s="6" t="str">
        <f t="shared" si="1"/>
        <v>South Tyneside</v>
      </c>
      <c r="F22" s="80" t="str">
        <f t="shared" si="25"/>
        <v>Cambridgeshire v. South Tyneside</v>
      </c>
      <c r="G22" s="47">
        <f t="shared" si="26"/>
        <v>2</v>
      </c>
      <c r="H22" s="81">
        <v>1</v>
      </c>
      <c r="I22" s="47" t="s">
        <v>47</v>
      </c>
      <c r="J22" s="82">
        <v>8</v>
      </c>
      <c r="K22" s="33"/>
      <c r="L22" s="83">
        <v>13</v>
      </c>
      <c r="M22" s="83">
        <v>3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H22" s="33"/>
      <c r="CI22" s="33"/>
      <c r="CK22" s="36"/>
      <c r="CL22" s="36"/>
      <c r="CS22" s="51"/>
    </row>
    <row r="23" spans="4:13" ht="18.75">
      <c r="D23" s="6" t="str">
        <f t="shared" si="0"/>
        <v>Durham</v>
      </c>
      <c r="E23" s="6" t="str">
        <f t="shared" si="1"/>
        <v>Hertfordshire</v>
      </c>
      <c r="F23" s="74" t="str">
        <f t="shared" si="25"/>
        <v>Durham v. Hertfordshire</v>
      </c>
      <c r="G23" s="75">
        <f t="shared" si="26"/>
        <v>2</v>
      </c>
      <c r="H23" s="76">
        <v>2</v>
      </c>
      <c r="I23" s="75" t="s">
        <v>47</v>
      </c>
      <c r="J23" s="77">
        <v>4</v>
      </c>
      <c r="L23" s="83">
        <v>1</v>
      </c>
      <c r="M23" s="83">
        <v>13</v>
      </c>
    </row>
    <row r="24" spans="4:13" ht="18.75">
      <c r="D24" s="6" t="str">
        <f t="shared" si="0"/>
        <v>Norfolk</v>
      </c>
      <c r="E24" s="6" t="str">
        <f t="shared" si="1"/>
        <v>South Tyneside</v>
      </c>
      <c r="F24" s="78" t="str">
        <f t="shared" si="25"/>
        <v>Norfolk v. South Tyneside</v>
      </c>
      <c r="G24" s="6">
        <f t="shared" si="26"/>
        <v>2</v>
      </c>
      <c r="H24" s="33">
        <v>5</v>
      </c>
      <c r="I24" s="6" t="s">
        <v>47</v>
      </c>
      <c r="J24" s="79">
        <v>8</v>
      </c>
      <c r="L24" s="83">
        <v>6</v>
      </c>
      <c r="M24" s="83">
        <v>4</v>
      </c>
    </row>
    <row r="25" spans="4:13" ht="18.75">
      <c r="D25" s="6" t="str">
        <f t="shared" si="0"/>
        <v>Cambridgeshire</v>
      </c>
      <c r="E25" s="6" t="str">
        <f t="shared" si="1"/>
        <v>Essex</v>
      </c>
      <c r="F25" s="78" t="str">
        <f t="shared" si="25"/>
        <v>Cambridgeshire v. Essex</v>
      </c>
      <c r="G25" s="6">
        <f t="shared" si="26"/>
        <v>2</v>
      </c>
      <c r="H25" s="33">
        <v>1</v>
      </c>
      <c r="I25" s="6" t="s">
        <v>47</v>
      </c>
      <c r="J25" s="79">
        <v>3</v>
      </c>
      <c r="L25" s="83">
        <v>12</v>
      </c>
      <c r="M25" s="83">
        <v>4</v>
      </c>
    </row>
    <row r="26" spans="4:13" ht="18.75">
      <c r="D26" s="6" t="str">
        <f t="shared" si="0"/>
        <v>Suffolk</v>
      </c>
      <c r="E26" s="6" t="str">
        <f t="shared" si="1"/>
        <v>Northumberland</v>
      </c>
      <c r="F26" s="78" t="str">
        <f t="shared" si="25"/>
        <v>Suffolk v. Northumberland</v>
      </c>
      <c r="G26" s="6">
        <f t="shared" si="26"/>
        <v>2</v>
      </c>
      <c r="H26" s="33">
        <v>9</v>
      </c>
      <c r="I26" s="6" t="s">
        <v>47</v>
      </c>
      <c r="J26" s="79">
        <v>7</v>
      </c>
      <c r="L26" s="83">
        <v>5</v>
      </c>
      <c r="M26" s="83">
        <v>8</v>
      </c>
    </row>
    <row r="27" spans="4:13" ht="18.75">
      <c r="D27" s="6" t="str">
        <f t="shared" si="0"/>
        <v>Sunderland</v>
      </c>
      <c r="E27" s="6" t="str">
        <f t="shared" si="1"/>
        <v>North Tyneside</v>
      </c>
      <c r="F27" s="80" t="str">
        <f t="shared" si="25"/>
        <v>Sunderland v. North Tyneside</v>
      </c>
      <c r="G27" s="47">
        <f t="shared" si="26"/>
        <v>2</v>
      </c>
      <c r="H27" s="81">
        <v>10</v>
      </c>
      <c r="I27" s="47" t="s">
        <v>47</v>
      </c>
      <c r="J27" s="82">
        <v>6</v>
      </c>
      <c r="L27" s="83">
        <v>24</v>
      </c>
      <c r="M27" s="83">
        <v>4</v>
      </c>
    </row>
    <row r="28" spans="4:13" ht="18.75">
      <c r="D28" s="6" t="str">
        <f t="shared" si="0"/>
        <v>Durham</v>
      </c>
      <c r="E28" s="6" t="str">
        <f t="shared" si="1"/>
        <v>North Tyneside</v>
      </c>
      <c r="F28" s="74" t="str">
        <f t="shared" si="25"/>
        <v>Durham v. North Tyneside</v>
      </c>
      <c r="G28" s="75">
        <f t="shared" si="26"/>
        <v>2</v>
      </c>
      <c r="H28" s="76">
        <v>2</v>
      </c>
      <c r="I28" s="75" t="s">
        <v>47</v>
      </c>
      <c r="J28" s="77">
        <v>6</v>
      </c>
      <c r="L28" s="83">
        <v>9</v>
      </c>
      <c r="M28" s="83">
        <v>6</v>
      </c>
    </row>
    <row r="29" spans="4:13" ht="18.75">
      <c r="D29" s="6" t="str">
        <f t="shared" si="0"/>
        <v>Cambridgeshire</v>
      </c>
      <c r="E29" s="6" t="str">
        <f t="shared" si="1"/>
        <v>Norfolk</v>
      </c>
      <c r="F29" s="78" t="str">
        <f t="shared" si="25"/>
        <v>Cambridgeshire v. Norfolk</v>
      </c>
      <c r="G29" s="6">
        <f t="shared" si="26"/>
        <v>2</v>
      </c>
      <c r="H29" s="33">
        <v>1</v>
      </c>
      <c r="I29" s="6" t="s">
        <v>47</v>
      </c>
      <c r="J29" s="79">
        <v>5</v>
      </c>
      <c r="L29" s="83">
        <v>8</v>
      </c>
      <c r="M29" s="83">
        <v>7</v>
      </c>
    </row>
    <row r="30" spans="4:13" ht="18.75">
      <c r="D30" s="6" t="str">
        <f t="shared" si="0"/>
        <v>Sunderland</v>
      </c>
      <c r="E30" s="6" t="str">
        <f t="shared" si="1"/>
        <v>Essex</v>
      </c>
      <c r="F30" s="78" t="str">
        <f t="shared" si="25"/>
        <v>Sunderland v. Essex</v>
      </c>
      <c r="G30" s="6">
        <f t="shared" si="26"/>
        <v>2</v>
      </c>
      <c r="H30" s="33">
        <v>10</v>
      </c>
      <c r="I30" s="6" t="s">
        <v>47</v>
      </c>
      <c r="J30" s="79">
        <v>3</v>
      </c>
      <c r="L30" s="83">
        <v>9</v>
      </c>
      <c r="M30" s="83">
        <v>6</v>
      </c>
    </row>
    <row r="31" spans="4:13" ht="18.75">
      <c r="D31" s="6" t="str">
        <f t="shared" si="0"/>
        <v>Hertfordshire</v>
      </c>
      <c r="E31" s="6" t="str">
        <f t="shared" si="1"/>
        <v>Northumberland</v>
      </c>
      <c r="F31" s="78" t="str">
        <f t="shared" si="25"/>
        <v>Hertfordshire v. Northumberland</v>
      </c>
      <c r="G31" s="6">
        <f t="shared" si="26"/>
        <v>2</v>
      </c>
      <c r="H31" s="33">
        <v>4</v>
      </c>
      <c r="I31" s="6" t="s">
        <v>47</v>
      </c>
      <c r="J31" s="79">
        <v>7</v>
      </c>
      <c r="L31" s="83">
        <v>5</v>
      </c>
      <c r="M31" s="83">
        <v>17</v>
      </c>
    </row>
    <row r="32" spans="4:13" ht="18.75">
      <c r="D32" s="6" t="str">
        <f t="shared" si="0"/>
        <v>Suffolk</v>
      </c>
      <c r="E32" s="6" t="str">
        <f t="shared" si="1"/>
        <v>South Tyneside</v>
      </c>
      <c r="F32" s="80" t="str">
        <f t="shared" si="25"/>
        <v>Suffolk v. South Tyneside</v>
      </c>
      <c r="G32" s="47">
        <f t="shared" si="26"/>
        <v>2</v>
      </c>
      <c r="H32" s="81">
        <v>9</v>
      </c>
      <c r="I32" s="47" t="s">
        <v>47</v>
      </c>
      <c r="J32" s="82">
        <v>8</v>
      </c>
      <c r="L32" s="83">
        <v>10</v>
      </c>
      <c r="M32" s="83">
        <v>0</v>
      </c>
    </row>
    <row r="33" spans="4:13" ht="18.75">
      <c r="D33" s="6" t="str">
        <f t="shared" si="0"/>
        <v>Cambridgeshire</v>
      </c>
      <c r="E33" s="6" t="str">
        <f t="shared" si="1"/>
        <v>North Tyneside</v>
      </c>
      <c r="F33" s="74" t="str">
        <f t="shared" si="25"/>
        <v>Cambridgeshire v. North Tyneside</v>
      </c>
      <c r="G33" s="75">
        <f t="shared" si="26"/>
        <v>2</v>
      </c>
      <c r="H33" s="76">
        <v>1</v>
      </c>
      <c r="I33" s="75" t="s">
        <v>47</v>
      </c>
      <c r="J33" s="77">
        <v>6</v>
      </c>
      <c r="L33" s="83">
        <v>9</v>
      </c>
      <c r="M33" s="83">
        <v>5</v>
      </c>
    </row>
    <row r="34" spans="4:13" ht="18.75">
      <c r="D34" s="6" t="str">
        <f t="shared" si="0"/>
        <v>Durham</v>
      </c>
      <c r="E34" s="6" t="str">
        <f t="shared" si="1"/>
        <v>Essex</v>
      </c>
      <c r="F34" s="78" t="str">
        <f t="shared" si="25"/>
        <v>Durham v. Essex</v>
      </c>
      <c r="G34" s="6">
        <f t="shared" si="26"/>
        <v>2</v>
      </c>
      <c r="H34" s="33">
        <v>2</v>
      </c>
      <c r="I34" s="6" t="s">
        <v>47</v>
      </c>
      <c r="J34" s="79">
        <v>3</v>
      </c>
      <c r="L34" s="83">
        <v>2</v>
      </c>
      <c r="M34" s="83">
        <v>10</v>
      </c>
    </row>
    <row r="35" spans="4:13" ht="18.75">
      <c r="D35" s="6" t="str">
        <f t="shared" si="0"/>
        <v>Sunderland</v>
      </c>
      <c r="E35" s="6" t="str">
        <f t="shared" si="1"/>
        <v>Northumberland</v>
      </c>
      <c r="F35" s="78" t="str">
        <f t="shared" si="25"/>
        <v>Sunderland v. Northumberland</v>
      </c>
      <c r="G35" s="6">
        <f t="shared" si="26"/>
        <v>2</v>
      </c>
      <c r="H35" s="33">
        <v>10</v>
      </c>
      <c r="I35" s="6" t="s">
        <v>47</v>
      </c>
      <c r="J35" s="79">
        <v>7</v>
      </c>
      <c r="L35" s="83">
        <v>6</v>
      </c>
      <c r="M35" s="83">
        <v>6</v>
      </c>
    </row>
    <row r="36" spans="4:13" ht="18.75">
      <c r="D36" s="6" t="str">
        <f t="shared" si="0"/>
        <v>Suffolk</v>
      </c>
      <c r="E36" s="6" t="str">
        <f t="shared" si="1"/>
        <v>Norfolk</v>
      </c>
      <c r="F36" s="78" t="str">
        <f t="shared" si="25"/>
        <v>Suffolk v. Norfolk</v>
      </c>
      <c r="G36" s="6">
        <f t="shared" si="26"/>
        <v>2</v>
      </c>
      <c r="H36" s="33">
        <v>9</v>
      </c>
      <c r="I36" s="6" t="s">
        <v>47</v>
      </c>
      <c r="J36" s="79">
        <v>5</v>
      </c>
      <c r="L36" s="83">
        <v>1</v>
      </c>
      <c r="M36" s="83">
        <v>14</v>
      </c>
    </row>
    <row r="37" spans="4:13" ht="18.75">
      <c r="D37" s="6" t="str">
        <f t="shared" si="0"/>
        <v>Hertfordshire</v>
      </c>
      <c r="E37" s="6" t="str">
        <f t="shared" si="1"/>
        <v>South Tyneside</v>
      </c>
      <c r="F37" s="80" t="str">
        <f t="shared" si="25"/>
        <v>Hertfordshire v. South Tyneside</v>
      </c>
      <c r="G37" s="47">
        <f t="shared" si="26"/>
        <v>2</v>
      </c>
      <c r="H37" s="81">
        <v>4</v>
      </c>
      <c r="I37" s="47" t="s">
        <v>47</v>
      </c>
      <c r="J37" s="82">
        <v>8</v>
      </c>
      <c r="L37" s="83">
        <v>12</v>
      </c>
      <c r="M37" s="83">
        <v>3</v>
      </c>
    </row>
    <row r="38" spans="1:13" ht="18.75">
      <c r="A38" s="33"/>
      <c r="B38" s="36"/>
      <c r="D38" s="6" t="str">
        <f t="shared" si="0"/>
        <v>Sunderland</v>
      </c>
      <c r="E38" s="6" t="str">
        <f t="shared" si="1"/>
        <v>South Tyneside</v>
      </c>
      <c r="F38" s="74" t="str">
        <f t="shared" si="25"/>
        <v>Sunderland v. South Tyneside</v>
      </c>
      <c r="G38" s="75">
        <f t="shared" si="26"/>
        <v>2</v>
      </c>
      <c r="H38" s="76">
        <v>10</v>
      </c>
      <c r="I38" s="75" t="s">
        <v>47</v>
      </c>
      <c r="J38" s="77">
        <v>8</v>
      </c>
      <c r="L38" s="83">
        <v>10</v>
      </c>
      <c r="M38" s="83">
        <v>3</v>
      </c>
    </row>
    <row r="39" spans="1:13" ht="18.75">
      <c r="A39" s="33"/>
      <c r="B39" s="36"/>
      <c r="D39" s="6" t="str">
        <f t="shared" si="0"/>
        <v>North Tyneside</v>
      </c>
      <c r="E39" s="6" t="str">
        <f t="shared" si="1"/>
        <v>Northumberland</v>
      </c>
      <c r="F39" s="78" t="str">
        <f t="shared" si="25"/>
        <v>North Tyneside v. Northumberland</v>
      </c>
      <c r="G39" s="6">
        <f t="shared" si="26"/>
        <v>2</v>
      </c>
      <c r="H39" s="33">
        <v>6</v>
      </c>
      <c r="I39" s="6" t="s">
        <v>47</v>
      </c>
      <c r="J39" s="79">
        <v>7</v>
      </c>
      <c r="L39" s="83">
        <v>3</v>
      </c>
      <c r="M39" s="83">
        <v>13</v>
      </c>
    </row>
    <row r="40" spans="1:13" ht="18.75">
      <c r="A40" s="33"/>
      <c r="B40" s="36"/>
      <c r="D40" s="6" t="str">
        <f t="shared" si="0"/>
        <v>Cambridgeshire</v>
      </c>
      <c r="E40" s="6" t="str">
        <f t="shared" si="1"/>
        <v>Hertfordshire</v>
      </c>
      <c r="F40" s="78" t="str">
        <f t="shared" si="25"/>
        <v>Cambridgeshire v. Hertfordshire</v>
      </c>
      <c r="G40" s="6">
        <f t="shared" si="26"/>
        <v>2</v>
      </c>
      <c r="H40" s="33">
        <v>1</v>
      </c>
      <c r="I40" s="6" t="s">
        <v>47</v>
      </c>
      <c r="J40" s="79">
        <v>4</v>
      </c>
      <c r="L40" s="83">
        <v>17</v>
      </c>
      <c r="M40" s="83">
        <v>6</v>
      </c>
    </row>
    <row r="41" spans="1:13" ht="18.75">
      <c r="A41" s="33"/>
      <c r="B41" s="36"/>
      <c r="D41" s="6" t="str">
        <f t="shared" si="0"/>
        <v>Suffolk</v>
      </c>
      <c r="E41" s="6" t="str">
        <f t="shared" si="1"/>
        <v>Durham</v>
      </c>
      <c r="F41" s="78" t="str">
        <f t="shared" si="25"/>
        <v>Suffolk v. Durham</v>
      </c>
      <c r="G41" s="6">
        <f t="shared" si="26"/>
        <v>2</v>
      </c>
      <c r="H41" s="33">
        <v>9</v>
      </c>
      <c r="I41" s="6" t="s">
        <v>47</v>
      </c>
      <c r="J41" s="79">
        <v>2</v>
      </c>
      <c r="L41" s="83">
        <v>13</v>
      </c>
      <c r="M41" s="83">
        <v>2</v>
      </c>
    </row>
    <row r="42" spans="1:13" ht="18.75">
      <c r="A42" s="33"/>
      <c r="B42" s="36"/>
      <c r="D42" s="6" t="str">
        <f t="shared" si="0"/>
        <v>Essex</v>
      </c>
      <c r="E42" s="6" t="str">
        <f t="shared" si="1"/>
        <v>Norfolk</v>
      </c>
      <c r="F42" s="80" t="str">
        <f t="shared" si="25"/>
        <v>Essex v. Norfolk</v>
      </c>
      <c r="G42" s="47">
        <f t="shared" si="26"/>
        <v>2</v>
      </c>
      <c r="H42" s="81">
        <v>3</v>
      </c>
      <c r="I42" s="47" t="s">
        <v>47</v>
      </c>
      <c r="J42" s="82">
        <v>5</v>
      </c>
      <c r="L42" s="83">
        <v>5</v>
      </c>
      <c r="M42" s="83">
        <v>12</v>
      </c>
    </row>
    <row r="43" spans="1:13" ht="18.75">
      <c r="A43" s="33"/>
      <c r="B43" s="36"/>
      <c r="D43" s="6" t="str">
        <f t="shared" si="0"/>
        <v>Northumberland</v>
      </c>
      <c r="E43" s="6" t="str">
        <f t="shared" si="1"/>
        <v>South Tyneside</v>
      </c>
      <c r="F43" s="74" t="str">
        <f t="shared" si="25"/>
        <v>Northumberland v. South Tyneside</v>
      </c>
      <c r="G43" s="75">
        <f t="shared" si="26"/>
        <v>2</v>
      </c>
      <c r="H43" s="76">
        <v>7</v>
      </c>
      <c r="I43" s="75" t="s">
        <v>47</v>
      </c>
      <c r="J43" s="77">
        <v>8</v>
      </c>
      <c r="L43" s="83">
        <v>19</v>
      </c>
      <c r="M43" s="83">
        <v>2</v>
      </c>
    </row>
    <row r="44" spans="1:13" ht="18.75">
      <c r="A44" s="33"/>
      <c r="B44" s="36"/>
      <c r="D44" s="6" t="str">
        <f t="shared" si="0"/>
        <v>Suffolk</v>
      </c>
      <c r="E44" s="6" t="str">
        <f t="shared" si="1"/>
        <v>Sunderland</v>
      </c>
      <c r="F44" s="78" t="str">
        <f t="shared" si="25"/>
        <v>Suffolk v. Sunderland</v>
      </c>
      <c r="G44" s="6">
        <f t="shared" si="26"/>
        <v>2</v>
      </c>
      <c r="H44" s="33">
        <v>9</v>
      </c>
      <c r="I44" s="6" t="s">
        <v>47</v>
      </c>
      <c r="J44" s="79">
        <v>10</v>
      </c>
      <c r="L44" s="83">
        <v>3</v>
      </c>
      <c r="M44" s="83">
        <v>9</v>
      </c>
    </row>
    <row r="45" spans="1:13" ht="18.75">
      <c r="A45" s="33"/>
      <c r="B45" s="36"/>
      <c r="D45" s="6" t="str">
        <f t="shared" si="0"/>
        <v>Cambridgeshire</v>
      </c>
      <c r="E45" s="6" t="str">
        <f t="shared" si="1"/>
        <v>Durham</v>
      </c>
      <c r="F45" s="78" t="str">
        <f t="shared" si="25"/>
        <v>Cambridgeshire v. Durham</v>
      </c>
      <c r="G45" s="6">
        <f t="shared" si="26"/>
        <v>2</v>
      </c>
      <c r="H45" s="33">
        <v>1</v>
      </c>
      <c r="I45" s="6" t="s">
        <v>47</v>
      </c>
      <c r="J45" s="79">
        <v>2</v>
      </c>
      <c r="L45" s="83">
        <v>23</v>
      </c>
      <c r="M45" s="83">
        <v>2</v>
      </c>
    </row>
    <row r="46" spans="1:13" ht="18.75">
      <c r="A46" s="33"/>
      <c r="B46" s="36"/>
      <c r="D46" s="6" t="str">
        <f t="shared" si="0"/>
        <v>Essex</v>
      </c>
      <c r="E46" s="6" t="str">
        <f t="shared" si="1"/>
        <v>Hertfordshire</v>
      </c>
      <c r="F46" s="78" t="str">
        <f t="shared" si="25"/>
        <v>Essex v. Hertfordshire</v>
      </c>
      <c r="G46" s="6">
        <f t="shared" si="26"/>
        <v>2</v>
      </c>
      <c r="H46" s="33">
        <v>3</v>
      </c>
      <c r="I46" s="6" t="s">
        <v>47</v>
      </c>
      <c r="J46" s="79">
        <v>4</v>
      </c>
      <c r="L46" s="83">
        <v>7</v>
      </c>
      <c r="M46" s="83">
        <v>5</v>
      </c>
    </row>
    <row r="47" spans="1:13" ht="18.75">
      <c r="A47" s="33"/>
      <c r="B47" s="36"/>
      <c r="D47" s="6" t="str">
        <f t="shared" si="0"/>
        <v>Norfolk</v>
      </c>
      <c r="E47" s="6" t="str">
        <f t="shared" si="1"/>
        <v>North Tyneside</v>
      </c>
      <c r="F47" s="80" t="str">
        <f t="shared" si="25"/>
        <v>Norfolk v. North Tyneside</v>
      </c>
      <c r="G47" s="47">
        <f t="shared" si="26"/>
        <v>2</v>
      </c>
      <c r="H47" s="81">
        <v>5</v>
      </c>
      <c r="I47" s="47" t="s">
        <v>47</v>
      </c>
      <c r="J47" s="82">
        <v>6</v>
      </c>
      <c r="L47" s="83">
        <v>13</v>
      </c>
      <c r="M47" s="83">
        <v>4</v>
      </c>
    </row>
    <row r="48" spans="4:13" ht="18.75">
      <c r="D48" s="6" t="str">
        <f t="shared" si="0"/>
        <v>Durham</v>
      </c>
      <c r="E48" s="6" t="str">
        <f t="shared" si="1"/>
        <v>South Tyneside</v>
      </c>
      <c r="F48" s="74" t="str">
        <f t="shared" si="25"/>
        <v>Durham v. South Tyneside</v>
      </c>
      <c r="G48" s="75">
        <f t="shared" si="26"/>
        <v>2</v>
      </c>
      <c r="H48" s="76">
        <v>2</v>
      </c>
      <c r="I48" s="75" t="s">
        <v>47</v>
      </c>
      <c r="J48" s="77">
        <v>8</v>
      </c>
      <c r="L48" s="83">
        <v>19</v>
      </c>
      <c r="M48" s="83">
        <v>5</v>
      </c>
    </row>
    <row r="49" spans="4:13" ht="18.75">
      <c r="D49" s="6" t="str">
        <f t="shared" si="0"/>
        <v>Sunderland</v>
      </c>
      <c r="E49" s="6" t="str">
        <f t="shared" si="1"/>
        <v>Cambridgeshire</v>
      </c>
      <c r="F49" s="78" t="str">
        <f t="shared" si="25"/>
        <v>Sunderland v. Cambridgeshire</v>
      </c>
      <c r="G49" s="6">
        <f t="shared" si="26"/>
        <v>2</v>
      </c>
      <c r="H49" s="33">
        <v>10</v>
      </c>
      <c r="I49" s="6" t="s">
        <v>47</v>
      </c>
      <c r="J49" s="79">
        <v>1</v>
      </c>
      <c r="L49" s="83">
        <v>11</v>
      </c>
      <c r="M49" s="83">
        <v>5</v>
      </c>
    </row>
    <row r="50" spans="4:13" ht="18.75">
      <c r="D50" s="6" t="str">
        <f t="shared" si="0"/>
        <v>Hertfordshire</v>
      </c>
      <c r="E50" s="6" t="str">
        <f t="shared" si="1"/>
        <v>Norfolk</v>
      </c>
      <c r="F50" s="78" t="str">
        <f t="shared" si="25"/>
        <v>Hertfordshire v. Norfolk</v>
      </c>
      <c r="G50" s="6">
        <f t="shared" si="26"/>
        <v>2</v>
      </c>
      <c r="H50" s="33">
        <v>4</v>
      </c>
      <c r="I50" s="6" t="s">
        <v>47</v>
      </c>
      <c r="J50" s="79">
        <v>5</v>
      </c>
      <c r="L50" s="83">
        <v>9</v>
      </c>
      <c r="M50" s="83">
        <v>7</v>
      </c>
    </row>
    <row r="51" spans="4:13" ht="18.75">
      <c r="D51" s="6" t="str">
        <f t="shared" si="0"/>
        <v>Suffolk</v>
      </c>
      <c r="E51" s="6" t="str">
        <f t="shared" si="1"/>
        <v>North Tyneside</v>
      </c>
      <c r="F51" s="78" t="str">
        <f t="shared" si="25"/>
        <v>Suffolk v. North Tyneside</v>
      </c>
      <c r="G51" s="6">
        <f t="shared" si="26"/>
        <v>2</v>
      </c>
      <c r="H51" s="33">
        <v>9</v>
      </c>
      <c r="I51" s="6" t="s">
        <v>47</v>
      </c>
      <c r="J51" s="79">
        <v>6</v>
      </c>
      <c r="L51" s="83">
        <v>22</v>
      </c>
      <c r="M51" s="83">
        <v>7</v>
      </c>
    </row>
    <row r="52" spans="4:13" ht="18.75">
      <c r="D52" s="6" t="str">
        <f t="shared" si="0"/>
        <v>Essex</v>
      </c>
      <c r="E52" s="6" t="str">
        <f t="shared" si="1"/>
        <v>Northumberland</v>
      </c>
      <c r="F52" s="80" t="str">
        <f t="shared" si="25"/>
        <v>Essex v. Northumberland</v>
      </c>
      <c r="G52" s="47">
        <f t="shared" si="26"/>
        <v>2</v>
      </c>
      <c r="H52" s="81">
        <v>3</v>
      </c>
      <c r="I52" s="47" t="s">
        <v>47</v>
      </c>
      <c r="J52" s="82">
        <v>7</v>
      </c>
      <c r="L52" s="83">
        <v>3</v>
      </c>
      <c r="M52" s="83">
        <v>9</v>
      </c>
    </row>
    <row r="53" spans="4:6" ht="18.75">
      <c r="D53" s="6"/>
      <c r="E53" s="6"/>
      <c r="F53" s="6"/>
    </row>
  </sheetData>
  <sheetProtection sheet="1" selectLockedCells="1"/>
  <mergeCells count="14">
    <mergeCell ref="CL2:CS4"/>
    <mergeCell ref="F3:M3"/>
    <mergeCell ref="AY6:AZ6"/>
    <mergeCell ref="BD6:BG6"/>
    <mergeCell ref="CL6:CS6"/>
    <mergeCell ref="AA6:AC6"/>
    <mergeCell ref="A2:B4"/>
    <mergeCell ref="F2:M2"/>
    <mergeCell ref="S6:U6"/>
    <mergeCell ref="W6:Y6"/>
    <mergeCell ref="L7:M7"/>
    <mergeCell ref="O6:Q6"/>
    <mergeCell ref="A6:B6"/>
    <mergeCell ref="F6:M6"/>
  </mergeCells>
  <conditionalFormatting sqref="CK21:CP22">
    <cfRule type="expression" priority="11" dxfId="3" stopIfTrue="1">
      <formula>IF($CL21:$CL63=0,1,0)</formula>
    </cfRule>
  </conditionalFormatting>
  <conditionalFormatting sqref="CU21:CU22">
    <cfRule type="expression" priority="10" dxfId="3" stopIfTrue="1">
      <formula>IF($CU21:$CU63=0,1,0)</formula>
    </cfRule>
  </conditionalFormatting>
  <conditionalFormatting sqref="CU8:CU17">
    <cfRule type="expression" priority="9" dxfId="3" stopIfTrue="1">
      <formula>IF($CU8:$CU17=0,1,0)</formula>
    </cfRule>
  </conditionalFormatting>
  <conditionalFormatting sqref="L8:M52">
    <cfRule type="expression" priority="8" dxfId="2" stopIfTrue="1">
      <formula>IF($E8:$E52=blankcell,1,0)</formula>
    </cfRule>
  </conditionalFormatting>
  <conditionalFormatting sqref="CK8:CP12 CK13:CK18">
    <cfRule type="expression" priority="7" dxfId="3" stopIfTrue="1">
      <formula>IF($CL8:$CL17=0,1,0)</formula>
    </cfRule>
  </conditionalFormatting>
  <conditionalFormatting sqref="CK19:CP20">
    <cfRule type="expression" priority="6" dxfId="3" stopIfTrue="1">
      <formula>IF($CL19:$CL62=0,1,0)</formula>
    </cfRule>
  </conditionalFormatting>
  <conditionalFormatting sqref="CU19:CU20">
    <cfRule type="expression" priority="5" dxfId="3" stopIfTrue="1">
      <formula>IF($CU19:$CU62=0,1,0)</formula>
    </cfRule>
  </conditionalFormatting>
  <conditionalFormatting sqref="H8:J52">
    <cfRule type="expression" priority="4" dxfId="3" stopIfTrue="1">
      <formula>$G8:$G22=1</formula>
    </cfRule>
  </conditionalFormatting>
  <conditionalFormatting sqref="F7:F53 F5 F2:F3">
    <cfRule type="containsText" priority="3" dxfId="3" operator="containsText" stopIfTrue="1" text="0">
      <formula>NOT(ISERROR(SEARCH("0",F2)))</formula>
    </cfRule>
  </conditionalFormatting>
  <conditionalFormatting sqref="B8:B17">
    <cfRule type="containsText" priority="2" dxfId="2" operator="containsText" stopIfTrue="1" text="0">
      <formula>NOT(ISERROR(SEARCH("0",B8)))</formula>
    </cfRule>
  </conditionalFormatting>
  <conditionalFormatting sqref="CS8:CS22">
    <cfRule type="duplicateValues" priority="1" dxfId="1" stopIfTrue="1">
      <formula>AND(COUNTIF($CS$8:$CS$22,CS8)&gt;1,NOT(ISBLANK(CS8)))</formula>
    </cfRule>
  </conditionalFormatting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tabSelected="1" zoomScalePageLayoutView="0" workbookViewId="0" topLeftCell="A27">
      <selection activeCell="AA13" sqref="AA13"/>
    </sheetView>
  </sheetViews>
  <sheetFormatPr defaultColWidth="9.57421875" defaultRowHeight="15"/>
  <cols>
    <col min="1" max="1" width="5.7109375" style="54" customWidth="1"/>
    <col min="2" max="2" width="20.7109375" style="54" customWidth="1"/>
    <col min="3" max="3" width="8.7109375" style="85" customWidth="1"/>
    <col min="4" max="6" width="8.7109375" style="73" customWidth="1"/>
    <col min="7" max="7" width="8.7109375" style="52" customWidth="1"/>
    <col min="8" max="8" width="12.421875" style="52" hidden="1" customWidth="1"/>
    <col min="9" max="9" width="5.00390625" style="52" hidden="1" customWidth="1"/>
    <col min="10" max="10" width="15.7109375" style="52" hidden="1" customWidth="1"/>
    <col min="11" max="11" width="6.7109375" style="52" hidden="1" customWidth="1"/>
    <col min="12" max="12" width="4.421875" style="52" hidden="1" customWidth="1"/>
    <col min="13" max="13" width="7.8515625" style="52" hidden="1" customWidth="1"/>
    <col min="14" max="14" width="6.57421875" style="52" hidden="1" customWidth="1"/>
    <col min="15" max="15" width="9.7109375" style="52" hidden="1" customWidth="1"/>
    <col min="16" max="16" width="10.57421875" style="52" hidden="1" customWidth="1"/>
    <col min="17" max="17" width="20.7109375" style="52" customWidth="1"/>
    <col min="18" max="21" width="8.7109375" style="52" customWidth="1"/>
    <col min="22" max="23" width="2.140625" style="52" hidden="1" customWidth="1"/>
    <col min="24" max="24" width="11.28125" style="54" hidden="1" customWidth="1"/>
    <col min="25" max="25" width="7.57421875" style="52" customWidth="1"/>
    <col min="26" max="26" width="20.7109375" style="52" customWidth="1"/>
    <col min="27" max="27" width="8.7109375" style="52" customWidth="1"/>
    <col min="28" max="252" width="9.140625" style="52" customWidth="1"/>
    <col min="253" max="253" width="2.00390625" style="52" bestFit="1" customWidth="1"/>
    <col min="254" max="254" width="7.7109375" style="52" customWidth="1"/>
    <col min="255" max="255" width="13.8515625" style="52" customWidth="1"/>
    <col min="256" max="16384" width="9.57421875" style="52" customWidth="1"/>
  </cols>
  <sheetData>
    <row r="1" spans="1:24" s="53" customFormat="1" ht="15.75">
      <c r="A1" s="73"/>
      <c r="B1" s="73"/>
      <c r="C1" s="73"/>
      <c r="D1" s="73"/>
      <c r="E1" s="73"/>
      <c r="F1" s="73"/>
      <c r="H1" s="53" t="s">
        <v>0</v>
      </c>
      <c r="I1" s="53" t="s">
        <v>0</v>
      </c>
      <c r="J1" s="53" t="s">
        <v>0</v>
      </c>
      <c r="K1" s="53" t="s">
        <v>0</v>
      </c>
      <c r="L1" s="53" t="s">
        <v>0</v>
      </c>
      <c r="M1" s="53" t="s">
        <v>0</v>
      </c>
      <c r="N1" s="53" t="s">
        <v>0</v>
      </c>
      <c r="O1" s="53" t="s">
        <v>0</v>
      </c>
      <c r="P1" s="53" t="s">
        <v>0</v>
      </c>
      <c r="V1" s="53" t="s">
        <v>0</v>
      </c>
      <c r="W1" s="53" t="s">
        <v>0</v>
      </c>
      <c r="X1" s="73" t="s">
        <v>0</v>
      </c>
    </row>
    <row r="2" spans="1:25" ht="21.75" customHeight="1">
      <c r="A2" s="137" t="s">
        <v>76</v>
      </c>
      <c r="B2" s="138"/>
      <c r="C2" s="138"/>
      <c r="D2" s="139"/>
      <c r="E2" s="139"/>
      <c r="F2" s="139"/>
      <c r="Q2" s="140" t="str">
        <f>singles!CL2</f>
        <v>Saturday 11th and  Sunday 12th June 2011 at The Norbreck Castle Hotel, Blackpool</v>
      </c>
      <c r="R2" s="141"/>
      <c r="S2" s="141"/>
      <c r="T2" s="141"/>
      <c r="U2" s="141"/>
      <c r="V2" s="141"/>
      <c r="W2" s="141"/>
      <c r="X2" s="141"/>
      <c r="Y2" s="55"/>
    </row>
    <row r="3" spans="1:25" ht="21.75" customHeight="1">
      <c r="A3" s="137"/>
      <c r="B3" s="138"/>
      <c r="C3" s="138"/>
      <c r="D3" s="139"/>
      <c r="E3" s="139"/>
      <c r="F3" s="139"/>
      <c r="Q3" s="140"/>
      <c r="R3" s="141"/>
      <c r="S3" s="141"/>
      <c r="T3" s="141"/>
      <c r="U3" s="141"/>
      <c r="V3" s="141"/>
      <c r="W3" s="141"/>
      <c r="X3" s="141"/>
      <c r="Y3" s="55"/>
    </row>
    <row r="4" spans="1:25" ht="21.75" customHeight="1">
      <c r="A4" s="138"/>
      <c r="B4" s="138"/>
      <c r="C4" s="138"/>
      <c r="D4" s="139"/>
      <c r="E4" s="139"/>
      <c r="F4" s="139"/>
      <c r="Q4" s="141"/>
      <c r="R4" s="141"/>
      <c r="S4" s="141"/>
      <c r="T4" s="141"/>
      <c r="U4" s="141"/>
      <c r="V4" s="141"/>
      <c r="W4" s="141"/>
      <c r="X4" s="141"/>
      <c r="Y4" s="55"/>
    </row>
    <row r="5" spans="1:25" s="57" customFormat="1" ht="34.5" thickBot="1">
      <c r="A5" s="56"/>
      <c r="B5" s="84"/>
      <c r="C5" s="84"/>
      <c r="D5" s="84"/>
      <c r="E5" s="84"/>
      <c r="F5" s="84"/>
      <c r="Q5" s="71"/>
      <c r="R5" s="71"/>
      <c r="S5" s="71"/>
      <c r="T5" s="71"/>
      <c r="U5" s="71"/>
      <c r="V5" s="71"/>
      <c r="W5" s="71"/>
      <c r="X5" s="71"/>
      <c r="Y5" s="55"/>
    </row>
    <row r="6" spans="1:21" s="58" customFormat="1" ht="15.75">
      <c r="A6" s="102"/>
      <c r="B6" s="103"/>
      <c r="C6" s="104"/>
      <c r="D6" s="86" t="s">
        <v>59</v>
      </c>
      <c r="E6" s="86" t="s">
        <v>75</v>
      </c>
      <c r="F6" s="87" t="s">
        <v>75</v>
      </c>
      <c r="Q6" s="134" t="s">
        <v>61</v>
      </c>
      <c r="R6" s="135"/>
      <c r="S6" s="135"/>
      <c r="T6" s="135"/>
      <c r="U6" s="136"/>
    </row>
    <row r="7" spans="1:27" s="58" customFormat="1" ht="15.75">
      <c r="A7" s="105" t="s">
        <v>62</v>
      </c>
      <c r="B7" s="106"/>
      <c r="C7" s="106"/>
      <c r="D7" s="88" t="s">
        <v>72</v>
      </c>
      <c r="E7" s="88" t="s">
        <v>27</v>
      </c>
      <c r="F7" s="89" t="s">
        <v>28</v>
      </c>
      <c r="H7" s="58" t="s">
        <v>63</v>
      </c>
      <c r="I7" s="58" t="s">
        <v>64</v>
      </c>
      <c r="J7" s="58" t="s">
        <v>65</v>
      </c>
      <c r="K7" s="58" t="s">
        <v>66</v>
      </c>
      <c r="L7" s="58" t="s">
        <v>67</v>
      </c>
      <c r="M7" s="58" t="s">
        <v>68</v>
      </c>
      <c r="N7" s="58" t="s">
        <v>69</v>
      </c>
      <c r="O7" s="58" t="s">
        <v>70</v>
      </c>
      <c r="P7" s="58" t="s">
        <v>71</v>
      </c>
      <c r="Q7" s="59"/>
      <c r="R7" s="60" t="s">
        <v>72</v>
      </c>
      <c r="S7" s="60" t="s">
        <v>27</v>
      </c>
      <c r="T7" s="60" t="s">
        <v>28</v>
      </c>
      <c r="U7" s="61" t="s">
        <v>45</v>
      </c>
      <c r="X7" s="60"/>
      <c r="Z7" s="62"/>
      <c r="AA7" s="62" t="s">
        <v>69</v>
      </c>
    </row>
    <row r="8" spans="1:27" s="58" customFormat="1" ht="15.75">
      <c r="A8" s="90">
        <v>1</v>
      </c>
      <c r="B8" s="70" t="s">
        <v>74</v>
      </c>
      <c r="C8" s="91" t="s">
        <v>59</v>
      </c>
      <c r="D8" s="92">
        <f>singles!CD8</f>
        <v>14</v>
      </c>
      <c r="E8" s="92">
        <f>singles!CE8</f>
        <v>87</v>
      </c>
      <c r="F8" s="93">
        <f>singles!CF8</f>
        <v>51</v>
      </c>
      <c r="H8" s="63">
        <f>((((D12*10000000)+(E12*10000)+(F12-1000)*-1)+AA8)*10)+O8</f>
        <v>5535307871</v>
      </c>
      <c r="I8" s="63">
        <f aca="true" t="shared" si="0" ref="I8:I17">RANK(H8,teamtots1)</f>
        <v>1</v>
      </c>
      <c r="J8" s="58" t="str">
        <f>B8</f>
        <v>Cambridgeshire</v>
      </c>
      <c r="K8" s="58">
        <f>D12</f>
        <v>55</v>
      </c>
      <c r="L8" s="58">
        <f>E12</f>
        <v>353</v>
      </c>
      <c r="M8" s="58">
        <f>F12</f>
        <v>213</v>
      </c>
      <c r="N8" s="58">
        <f aca="true" t="shared" si="1" ref="N8:N17">AA8</f>
        <v>0</v>
      </c>
      <c r="O8" s="58">
        <v>1</v>
      </c>
      <c r="P8" s="58">
        <v>1</v>
      </c>
      <c r="Q8" s="62" t="str">
        <f aca="true" t="shared" si="2" ref="Q8:Q17">VLOOKUP(teamorder,teamtab,2,0)</f>
        <v>Cambridgeshire</v>
      </c>
      <c r="R8" s="62">
        <f aca="true" t="shared" si="3" ref="R8:R17">VLOOKUP(teamorder,teamtab,3,0)</f>
        <v>55</v>
      </c>
      <c r="S8" s="62">
        <f aca="true" t="shared" si="4" ref="S8:S17">VLOOKUP(teamorder,teamtab,4,0)</f>
        <v>353</v>
      </c>
      <c r="T8" s="62">
        <f aca="true" t="shared" si="5" ref="T8:T17">VLOOKUP(teamorder,teamtab,5,0)</f>
        <v>213</v>
      </c>
      <c r="U8" s="62">
        <f aca="true" t="shared" si="6" ref="U8:U17">RANK(X8,teamtots2)</f>
        <v>1</v>
      </c>
      <c r="W8" s="62">
        <f aca="true" t="shared" si="7" ref="W8:W17">VLOOKUP(teamorder,teamtab,6,0)</f>
        <v>0</v>
      </c>
      <c r="X8" s="64">
        <f>((((R8*1000000)+(S8*1000)+(T8-100)*-1))*10)+W8</f>
        <v>553528870</v>
      </c>
      <c r="Z8" s="62" t="str">
        <f>J8</f>
        <v>Cambridgeshire</v>
      </c>
      <c r="AA8" s="65"/>
    </row>
    <row r="9" spans="1:27" s="58" customFormat="1" ht="15.75">
      <c r="A9" s="94"/>
      <c r="B9" s="60"/>
      <c r="C9" s="69" t="s">
        <v>56</v>
      </c>
      <c r="D9" s="63">
        <f>pairs!CD8</f>
        <v>12</v>
      </c>
      <c r="E9" s="63">
        <f>pairs!CE8</f>
        <v>75</v>
      </c>
      <c r="F9" s="95">
        <f>pairs!CF8</f>
        <v>55</v>
      </c>
      <c r="H9" s="63">
        <f>((((D17*10000000)+(E17*10000)+(F17-1000)*-1)+AA9)*10)+O9</f>
        <v>3828007372</v>
      </c>
      <c r="I9" s="63">
        <f t="shared" si="0"/>
        <v>5</v>
      </c>
      <c r="J9" s="58" t="str">
        <f>B13</f>
        <v>Durham</v>
      </c>
      <c r="K9" s="58">
        <f>D17</f>
        <v>38</v>
      </c>
      <c r="L9" s="58">
        <f>E17</f>
        <v>280</v>
      </c>
      <c r="M9" s="58">
        <f>F17</f>
        <v>263</v>
      </c>
      <c r="N9" s="58">
        <f t="shared" si="1"/>
        <v>0</v>
      </c>
      <c r="O9" s="58">
        <v>2</v>
      </c>
      <c r="P9" s="58">
        <v>2</v>
      </c>
      <c r="Q9" s="62" t="str">
        <f t="shared" si="2"/>
        <v>Suffolk</v>
      </c>
      <c r="R9" s="62">
        <f t="shared" si="3"/>
        <v>46</v>
      </c>
      <c r="S9" s="62">
        <f t="shared" si="4"/>
        <v>324</v>
      </c>
      <c r="T9" s="62">
        <f t="shared" si="5"/>
        <v>221</v>
      </c>
      <c r="U9" s="62">
        <f t="shared" si="6"/>
        <v>2</v>
      </c>
      <c r="W9" s="62">
        <f t="shared" si="7"/>
        <v>0</v>
      </c>
      <c r="X9" s="64">
        <f aca="true" t="shared" si="8" ref="X9:X17">((((R9*1000000)+(S9*1000)+(T9-100)*-1))*10)+W9</f>
        <v>463238790</v>
      </c>
      <c r="Z9" s="62" t="str">
        <f aca="true" t="shared" si="9" ref="Z9:Z17">J9</f>
        <v>Durham</v>
      </c>
      <c r="AA9" s="65"/>
    </row>
    <row r="10" spans="1:27" s="58" customFormat="1" ht="15.75">
      <c r="A10" s="94"/>
      <c r="B10" s="60"/>
      <c r="C10" s="69" t="s">
        <v>57</v>
      </c>
      <c r="D10" s="63">
        <f>triples!CD8</f>
        <v>17</v>
      </c>
      <c r="E10" s="63">
        <f>triples!CE8</f>
        <v>91</v>
      </c>
      <c r="F10" s="95">
        <f>triples!CF8</f>
        <v>46</v>
      </c>
      <c r="H10" s="63">
        <f>((((D22*10000000)+(E22*10000)+(F22-1000)*-1)+AA10)*10)+O10</f>
        <v>3526707193</v>
      </c>
      <c r="I10" s="63">
        <f t="shared" si="0"/>
        <v>7</v>
      </c>
      <c r="J10" s="58" t="str">
        <f>B18</f>
        <v>Essex</v>
      </c>
      <c r="K10" s="58">
        <f>D22</f>
        <v>35</v>
      </c>
      <c r="L10" s="58">
        <f>E22</f>
        <v>267</v>
      </c>
      <c r="M10" s="58">
        <f>F22</f>
        <v>281</v>
      </c>
      <c r="N10" s="58">
        <f t="shared" si="1"/>
        <v>0</v>
      </c>
      <c r="O10" s="58">
        <v>3</v>
      </c>
      <c r="P10" s="58">
        <v>3</v>
      </c>
      <c r="Q10" s="62" t="str">
        <f t="shared" si="2"/>
        <v>N'thumb'nd</v>
      </c>
      <c r="R10" s="62">
        <f t="shared" si="3"/>
        <v>46</v>
      </c>
      <c r="S10" s="62">
        <f t="shared" si="4"/>
        <v>323</v>
      </c>
      <c r="T10" s="62">
        <f t="shared" si="5"/>
        <v>251</v>
      </c>
      <c r="U10" s="62">
        <f t="shared" si="6"/>
        <v>3</v>
      </c>
      <c r="W10" s="62">
        <f t="shared" si="7"/>
        <v>0</v>
      </c>
      <c r="X10" s="64">
        <f t="shared" si="8"/>
        <v>463228490</v>
      </c>
      <c r="Z10" s="62" t="str">
        <f t="shared" si="9"/>
        <v>Essex</v>
      </c>
      <c r="AA10" s="65"/>
    </row>
    <row r="11" spans="1:27" s="58" customFormat="1" ht="15.75">
      <c r="A11" s="94"/>
      <c r="B11" s="60"/>
      <c r="C11" s="69" t="s">
        <v>60</v>
      </c>
      <c r="D11" s="63">
        <f>fours!CD8</f>
        <v>12</v>
      </c>
      <c r="E11" s="63">
        <f>fours!CE8</f>
        <v>100</v>
      </c>
      <c r="F11" s="95">
        <f>fours!CF8</f>
        <v>61</v>
      </c>
      <c r="H11" s="63">
        <f>((((D27*10000000)+(E27*10000)+(F27-1000)*-1)+AA11)*10)+O11</f>
        <v>3528307204</v>
      </c>
      <c r="I11" s="63">
        <f t="shared" si="0"/>
        <v>6</v>
      </c>
      <c r="J11" s="58" t="str">
        <f>B23</f>
        <v>Hertfordshire</v>
      </c>
      <c r="K11" s="58">
        <f>D27</f>
        <v>35</v>
      </c>
      <c r="L11" s="58">
        <f>E27</f>
        <v>283</v>
      </c>
      <c r="M11" s="58">
        <f>F27</f>
        <v>280</v>
      </c>
      <c r="N11" s="58">
        <f t="shared" si="1"/>
        <v>0</v>
      </c>
      <c r="O11" s="58">
        <v>4</v>
      </c>
      <c r="P11" s="58">
        <v>4</v>
      </c>
      <c r="Q11" s="62" t="str">
        <f t="shared" si="2"/>
        <v>Sunderland</v>
      </c>
      <c r="R11" s="62">
        <f t="shared" si="3"/>
        <v>45</v>
      </c>
      <c r="S11" s="62">
        <f t="shared" si="4"/>
        <v>305</v>
      </c>
      <c r="T11" s="62">
        <f t="shared" si="5"/>
        <v>231</v>
      </c>
      <c r="U11" s="62">
        <f t="shared" si="6"/>
        <v>4</v>
      </c>
      <c r="W11" s="62">
        <f t="shared" si="7"/>
        <v>0</v>
      </c>
      <c r="X11" s="64">
        <f t="shared" si="8"/>
        <v>453048690</v>
      </c>
      <c r="Z11" s="62" t="str">
        <f t="shared" si="9"/>
        <v>Hertfordshire</v>
      </c>
      <c r="AA11" s="65"/>
    </row>
    <row r="12" spans="1:27" s="58" customFormat="1" ht="15.75">
      <c r="A12" s="96"/>
      <c r="B12" s="72"/>
      <c r="C12" s="97" t="s">
        <v>38</v>
      </c>
      <c r="D12" s="98">
        <f>SUM(D8:D11)</f>
        <v>55</v>
      </c>
      <c r="E12" s="98">
        <f>SUM(E8:E11)</f>
        <v>353</v>
      </c>
      <c r="F12" s="99">
        <f>SUM(F8:F11)</f>
        <v>213</v>
      </c>
      <c r="H12" s="63">
        <f>((((D32*10000000)+(E32*10000)+(F32-1000)*-1)+AA12)*10)+O12</f>
        <v>3026607185</v>
      </c>
      <c r="I12" s="63">
        <f t="shared" si="0"/>
        <v>8</v>
      </c>
      <c r="J12" s="58" t="str">
        <f>B28</f>
        <v>Norfolk</v>
      </c>
      <c r="K12" s="58">
        <f>D32</f>
        <v>30</v>
      </c>
      <c r="L12" s="58">
        <f>E32</f>
        <v>266</v>
      </c>
      <c r="M12" s="58">
        <f>F32</f>
        <v>282</v>
      </c>
      <c r="N12" s="58">
        <f t="shared" si="1"/>
        <v>0</v>
      </c>
      <c r="O12" s="58">
        <v>5</v>
      </c>
      <c r="P12" s="58">
        <v>5</v>
      </c>
      <c r="Q12" s="62" t="str">
        <f t="shared" si="2"/>
        <v>Durham</v>
      </c>
      <c r="R12" s="62">
        <f t="shared" si="3"/>
        <v>38</v>
      </c>
      <c r="S12" s="62">
        <f t="shared" si="4"/>
        <v>280</v>
      </c>
      <c r="T12" s="62">
        <f t="shared" si="5"/>
        <v>263</v>
      </c>
      <c r="U12" s="62">
        <f t="shared" si="6"/>
        <v>5</v>
      </c>
      <c r="W12" s="62">
        <f t="shared" si="7"/>
        <v>0</v>
      </c>
      <c r="X12" s="64">
        <f t="shared" si="8"/>
        <v>382798370</v>
      </c>
      <c r="Z12" s="62" t="str">
        <f t="shared" si="9"/>
        <v>Norfolk</v>
      </c>
      <c r="AA12" s="65"/>
    </row>
    <row r="13" spans="1:27" s="58" customFormat="1" ht="15.75">
      <c r="A13" s="90">
        <v>2</v>
      </c>
      <c r="B13" s="70" t="s">
        <v>48</v>
      </c>
      <c r="C13" s="91" t="str">
        <f>C8</f>
        <v>Singles</v>
      </c>
      <c r="D13" s="92">
        <f>singles!CD9</f>
        <v>13</v>
      </c>
      <c r="E13" s="92">
        <f>singles!CE9</f>
        <v>86</v>
      </c>
      <c r="F13" s="93">
        <f>singles!CF9</f>
        <v>49</v>
      </c>
      <c r="H13" s="63">
        <f>((((D37*10000000)+(E37*10000)+(F37-1000)*-1)+AA13)*10)+O13</f>
        <v>1418605936</v>
      </c>
      <c r="I13" s="63">
        <f t="shared" si="0"/>
        <v>10</v>
      </c>
      <c r="J13" s="58" t="str">
        <f>B33</f>
        <v>N'th Tyneside</v>
      </c>
      <c r="K13" s="58">
        <f>D37</f>
        <v>14</v>
      </c>
      <c r="L13" s="58">
        <f>E37</f>
        <v>186</v>
      </c>
      <c r="M13" s="58">
        <f>F37</f>
        <v>407</v>
      </c>
      <c r="N13" s="58">
        <f t="shared" si="1"/>
        <v>0</v>
      </c>
      <c r="O13" s="58">
        <v>6</v>
      </c>
      <c r="P13" s="58">
        <v>6</v>
      </c>
      <c r="Q13" s="62" t="str">
        <f t="shared" si="2"/>
        <v>Hertfordshire</v>
      </c>
      <c r="R13" s="62">
        <f t="shared" si="3"/>
        <v>35</v>
      </c>
      <c r="S13" s="62">
        <f t="shared" si="4"/>
        <v>283</v>
      </c>
      <c r="T13" s="62">
        <f t="shared" si="5"/>
        <v>280</v>
      </c>
      <c r="U13" s="62">
        <f t="shared" si="6"/>
        <v>6</v>
      </c>
      <c r="W13" s="62">
        <f t="shared" si="7"/>
        <v>0</v>
      </c>
      <c r="X13" s="64">
        <f t="shared" si="8"/>
        <v>352828200</v>
      </c>
      <c r="Z13" s="62" t="str">
        <f t="shared" si="9"/>
        <v>N'th Tyneside</v>
      </c>
      <c r="AA13" s="65"/>
    </row>
    <row r="14" spans="1:27" s="58" customFormat="1" ht="15.75">
      <c r="A14" s="94"/>
      <c r="B14" s="60"/>
      <c r="C14" s="69" t="str">
        <f aca="true" t="shared" si="10" ref="C14:C56">C9</f>
        <v>Pairs</v>
      </c>
      <c r="D14" s="63">
        <f>pairs!CD9</f>
        <v>9</v>
      </c>
      <c r="E14" s="63">
        <f>pairs!CE9</f>
        <v>61</v>
      </c>
      <c r="F14" s="95">
        <f>pairs!CF9</f>
        <v>69</v>
      </c>
      <c r="H14" s="63">
        <f>((((D42*10000000)+(E42*10000)+(F42-1000)*-1)+AA14)*10)+O14</f>
        <v>4632307497</v>
      </c>
      <c r="I14" s="63">
        <f t="shared" si="0"/>
        <v>3</v>
      </c>
      <c r="J14" s="58" t="str">
        <f>B38</f>
        <v>N'thumb'nd</v>
      </c>
      <c r="K14" s="58">
        <f>D42</f>
        <v>46</v>
      </c>
      <c r="L14" s="58">
        <f>E42</f>
        <v>323</v>
      </c>
      <c r="M14" s="58">
        <f>F42</f>
        <v>251</v>
      </c>
      <c r="N14" s="58">
        <f t="shared" si="1"/>
        <v>0</v>
      </c>
      <c r="O14" s="58">
        <v>7</v>
      </c>
      <c r="P14" s="58">
        <v>7</v>
      </c>
      <c r="Q14" s="62" t="str">
        <f t="shared" si="2"/>
        <v>Essex</v>
      </c>
      <c r="R14" s="62">
        <f t="shared" si="3"/>
        <v>35</v>
      </c>
      <c r="S14" s="62">
        <f t="shared" si="4"/>
        <v>267</v>
      </c>
      <c r="T14" s="62">
        <f t="shared" si="5"/>
        <v>281</v>
      </c>
      <c r="U14" s="62">
        <f t="shared" si="6"/>
        <v>7</v>
      </c>
      <c r="W14" s="62">
        <f t="shared" si="7"/>
        <v>0</v>
      </c>
      <c r="X14" s="64">
        <f t="shared" si="8"/>
        <v>352668190</v>
      </c>
      <c r="Z14" s="62" t="str">
        <f t="shared" si="9"/>
        <v>N'thumb'nd</v>
      </c>
      <c r="AA14" s="65"/>
    </row>
    <row r="15" spans="1:27" s="58" customFormat="1" ht="15.75">
      <c r="A15" s="94"/>
      <c r="B15" s="60"/>
      <c r="C15" s="69" t="str">
        <f t="shared" si="10"/>
        <v>Triples</v>
      </c>
      <c r="D15" s="63">
        <f>triples!CD9</f>
        <v>12</v>
      </c>
      <c r="E15" s="63">
        <f>triples!CE9</f>
        <v>81</v>
      </c>
      <c r="F15" s="95">
        <f>triples!CF9</f>
        <v>48</v>
      </c>
      <c r="H15" s="63">
        <f>((((D47*10000000)+(E47*10000)+(F47-1000)*-1)+AA15)*10)+O15</f>
        <v>1620106418</v>
      </c>
      <c r="I15" s="63">
        <f t="shared" si="0"/>
        <v>9</v>
      </c>
      <c r="J15" s="58" t="str">
        <f>B43</f>
        <v>S'th Tyneside</v>
      </c>
      <c r="K15" s="58">
        <f>D47</f>
        <v>16</v>
      </c>
      <c r="L15" s="58">
        <f>E47</f>
        <v>201</v>
      </c>
      <c r="M15" s="58">
        <f>F47</f>
        <v>359</v>
      </c>
      <c r="N15" s="58">
        <f t="shared" si="1"/>
        <v>0</v>
      </c>
      <c r="O15" s="58">
        <v>8</v>
      </c>
      <c r="P15" s="58">
        <v>8</v>
      </c>
      <c r="Q15" s="62" t="str">
        <f t="shared" si="2"/>
        <v>Norfolk</v>
      </c>
      <c r="R15" s="62">
        <f t="shared" si="3"/>
        <v>30</v>
      </c>
      <c r="S15" s="62">
        <f t="shared" si="4"/>
        <v>266</v>
      </c>
      <c r="T15" s="62">
        <f t="shared" si="5"/>
        <v>282</v>
      </c>
      <c r="U15" s="62">
        <f t="shared" si="6"/>
        <v>8</v>
      </c>
      <c r="W15" s="62">
        <f t="shared" si="7"/>
        <v>0</v>
      </c>
      <c r="X15" s="64">
        <f t="shared" si="8"/>
        <v>302658180</v>
      </c>
      <c r="Z15" s="62" t="str">
        <f t="shared" si="9"/>
        <v>S'th Tyneside</v>
      </c>
      <c r="AA15" s="65"/>
    </row>
    <row r="16" spans="1:27" s="58" customFormat="1" ht="15.75">
      <c r="A16" s="94"/>
      <c r="B16" s="60"/>
      <c r="C16" s="69" t="str">
        <f t="shared" si="10"/>
        <v>Fours</v>
      </c>
      <c r="D16" s="63">
        <f>fours!CD9</f>
        <v>4</v>
      </c>
      <c r="E16" s="63">
        <f>fours!CE9</f>
        <v>52</v>
      </c>
      <c r="F16" s="95">
        <f>fours!CF9</f>
        <v>97</v>
      </c>
      <c r="H16" s="63">
        <f>((((D52*10000000)+(E52*10000)+(F52-1000)*-1)+AA16)*10)+O16</f>
        <v>4632407799</v>
      </c>
      <c r="I16" s="63">
        <f t="shared" si="0"/>
        <v>2</v>
      </c>
      <c r="J16" s="58" t="str">
        <f>B48</f>
        <v>Suffolk</v>
      </c>
      <c r="K16" s="58">
        <f>D52</f>
        <v>46</v>
      </c>
      <c r="L16" s="58">
        <f>E52</f>
        <v>324</v>
      </c>
      <c r="M16" s="58">
        <f>F52</f>
        <v>221</v>
      </c>
      <c r="N16" s="58">
        <f t="shared" si="1"/>
        <v>0</v>
      </c>
      <c r="O16" s="58">
        <v>9</v>
      </c>
      <c r="P16" s="58">
        <v>9</v>
      </c>
      <c r="Q16" s="62" t="str">
        <f t="shared" si="2"/>
        <v>S'th Tyneside</v>
      </c>
      <c r="R16" s="62">
        <f t="shared" si="3"/>
        <v>16</v>
      </c>
      <c r="S16" s="62">
        <f t="shared" si="4"/>
        <v>201</v>
      </c>
      <c r="T16" s="62">
        <f t="shared" si="5"/>
        <v>359</v>
      </c>
      <c r="U16" s="62">
        <f t="shared" si="6"/>
        <v>9</v>
      </c>
      <c r="W16" s="62">
        <f t="shared" si="7"/>
        <v>0</v>
      </c>
      <c r="X16" s="64">
        <f t="shared" si="8"/>
        <v>162007410</v>
      </c>
      <c r="Z16" s="62" t="str">
        <f t="shared" si="9"/>
        <v>Suffolk</v>
      </c>
      <c r="AA16" s="65"/>
    </row>
    <row r="17" spans="1:27" s="58" customFormat="1" ht="15.75">
      <c r="A17" s="96"/>
      <c r="B17" s="72"/>
      <c r="C17" s="97" t="str">
        <f t="shared" si="10"/>
        <v>Total</v>
      </c>
      <c r="D17" s="98">
        <f>SUM(D13:D16)</f>
        <v>38</v>
      </c>
      <c r="E17" s="98">
        <f>SUM(E13:E16)</f>
        <v>280</v>
      </c>
      <c r="F17" s="99">
        <f>SUM(F13:F16)</f>
        <v>263</v>
      </c>
      <c r="H17" s="63">
        <f>((((D57*10000000)+(E57*10000)+(F57-1000)*-1)+AA17)*10)+O17</f>
        <v>4530507700</v>
      </c>
      <c r="I17" s="63">
        <f t="shared" si="0"/>
        <v>4</v>
      </c>
      <c r="J17" s="58" t="str">
        <f>B53</f>
        <v>Sunderland</v>
      </c>
      <c r="K17" s="58">
        <f>D57</f>
        <v>45</v>
      </c>
      <c r="L17" s="58">
        <f>E57</f>
        <v>305</v>
      </c>
      <c r="M17" s="58">
        <f>F57</f>
        <v>231</v>
      </c>
      <c r="N17" s="58">
        <f t="shared" si="1"/>
        <v>0</v>
      </c>
      <c r="O17" s="58">
        <v>10</v>
      </c>
      <c r="P17" s="58">
        <v>10</v>
      </c>
      <c r="Q17" s="62" t="str">
        <f t="shared" si="2"/>
        <v>N'th Tyneside</v>
      </c>
      <c r="R17" s="62">
        <f t="shared" si="3"/>
        <v>14</v>
      </c>
      <c r="S17" s="62">
        <f t="shared" si="4"/>
        <v>186</v>
      </c>
      <c r="T17" s="62">
        <f t="shared" si="5"/>
        <v>407</v>
      </c>
      <c r="U17" s="62">
        <f t="shared" si="6"/>
        <v>10</v>
      </c>
      <c r="W17" s="62">
        <f t="shared" si="7"/>
        <v>0</v>
      </c>
      <c r="X17" s="64">
        <f t="shared" si="8"/>
        <v>141856930</v>
      </c>
      <c r="Z17" s="62" t="str">
        <f t="shared" si="9"/>
        <v>Sunderland</v>
      </c>
      <c r="AA17" s="65"/>
    </row>
    <row r="18" spans="1:24" s="58" customFormat="1" ht="15.75">
      <c r="A18" s="90">
        <v>3</v>
      </c>
      <c r="B18" s="70" t="s">
        <v>49</v>
      </c>
      <c r="C18" s="91" t="str">
        <f t="shared" si="10"/>
        <v>Singles</v>
      </c>
      <c r="D18" s="92">
        <f>singles!CD10</f>
        <v>8</v>
      </c>
      <c r="E18" s="92">
        <f>singles!CE10</f>
        <v>58</v>
      </c>
      <c r="F18" s="93">
        <f>singles!CF10</f>
        <v>73</v>
      </c>
      <c r="H18" s="63"/>
      <c r="I18" s="63"/>
      <c r="X18" s="60"/>
    </row>
    <row r="19" spans="1:24" s="58" customFormat="1" ht="15.75">
      <c r="A19" s="94"/>
      <c r="B19" s="60"/>
      <c r="C19" s="69" t="str">
        <f t="shared" si="10"/>
        <v>Pairs</v>
      </c>
      <c r="D19" s="63">
        <f>pairs!CD10</f>
        <v>11</v>
      </c>
      <c r="E19" s="63">
        <f>pairs!CE10</f>
        <v>74</v>
      </c>
      <c r="F19" s="95">
        <f>pairs!CF10</f>
        <v>72</v>
      </c>
      <c r="H19" s="63"/>
      <c r="I19" s="63"/>
      <c r="X19" s="60"/>
    </row>
    <row r="20" spans="1:24" s="58" customFormat="1" ht="15.75">
      <c r="A20" s="94"/>
      <c r="B20" s="60"/>
      <c r="C20" s="69" t="str">
        <f t="shared" si="10"/>
        <v>Triples</v>
      </c>
      <c r="D20" s="63">
        <f>triples!CD10</f>
        <v>6</v>
      </c>
      <c r="E20" s="63">
        <f>triples!CE10</f>
        <v>69</v>
      </c>
      <c r="F20" s="95">
        <f>triples!CF10</f>
        <v>75</v>
      </c>
      <c r="H20" s="63"/>
      <c r="I20" s="63"/>
      <c r="X20" s="60"/>
    </row>
    <row r="21" spans="1:24" s="58" customFormat="1" ht="15.75">
      <c r="A21" s="94"/>
      <c r="B21" s="60"/>
      <c r="C21" s="69" t="str">
        <f t="shared" si="10"/>
        <v>Fours</v>
      </c>
      <c r="D21" s="63">
        <f>fours!CD10</f>
        <v>10</v>
      </c>
      <c r="E21" s="63">
        <f>fours!CE10</f>
        <v>66</v>
      </c>
      <c r="F21" s="95">
        <f>fours!CF10</f>
        <v>61</v>
      </c>
      <c r="H21" s="63"/>
      <c r="I21" s="63"/>
      <c r="X21" s="60"/>
    </row>
    <row r="22" spans="1:24" s="58" customFormat="1" ht="15.75">
      <c r="A22" s="96"/>
      <c r="B22" s="72"/>
      <c r="C22" s="97" t="str">
        <f t="shared" si="10"/>
        <v>Total</v>
      </c>
      <c r="D22" s="98">
        <f>SUM(D18:D21)</f>
        <v>35</v>
      </c>
      <c r="E22" s="98">
        <f>SUM(E18:E21)</f>
        <v>267</v>
      </c>
      <c r="F22" s="99">
        <f>SUM(F18:F21)</f>
        <v>281</v>
      </c>
      <c r="H22" s="63"/>
      <c r="I22" s="63"/>
      <c r="X22" s="60"/>
    </row>
    <row r="23" spans="1:25" s="58" customFormat="1" ht="16.5" customHeight="1">
      <c r="A23" s="90">
        <v>4</v>
      </c>
      <c r="B23" s="70" t="s">
        <v>50</v>
      </c>
      <c r="C23" s="91" t="str">
        <f t="shared" si="10"/>
        <v>Singles</v>
      </c>
      <c r="D23" s="92">
        <f>singles!CD11</f>
        <v>10</v>
      </c>
      <c r="E23" s="92">
        <f>singles!CE11</f>
        <v>74</v>
      </c>
      <c r="F23" s="93">
        <f>singles!CF11</f>
        <v>61</v>
      </c>
      <c r="H23" s="63"/>
      <c r="I23" s="63"/>
      <c r="Q23" s="67"/>
      <c r="R23" s="68"/>
      <c r="S23" s="68"/>
      <c r="T23" s="68"/>
      <c r="U23" s="68"/>
      <c r="V23" s="68"/>
      <c r="W23" s="68"/>
      <c r="X23" s="68"/>
      <c r="Y23" s="68"/>
    </row>
    <row r="24" spans="1:25" s="58" customFormat="1" ht="15.75">
      <c r="A24" s="94"/>
      <c r="B24" s="60"/>
      <c r="C24" s="69" t="str">
        <f t="shared" si="10"/>
        <v>Pairs</v>
      </c>
      <c r="D24" s="63">
        <f>pairs!CD11</f>
        <v>14</v>
      </c>
      <c r="E24" s="63">
        <f>pairs!CE11</f>
        <v>92</v>
      </c>
      <c r="F24" s="95">
        <f>pairs!CF11</f>
        <v>48</v>
      </c>
      <c r="Q24" s="68"/>
      <c r="R24" s="68"/>
      <c r="S24" s="68"/>
      <c r="T24" s="68"/>
      <c r="U24" s="68"/>
      <c r="V24" s="68"/>
      <c r="W24" s="68"/>
      <c r="X24" s="68"/>
      <c r="Y24" s="68"/>
    </row>
    <row r="25" spans="1:24" s="58" customFormat="1" ht="15.75">
      <c r="A25" s="94"/>
      <c r="B25" s="60"/>
      <c r="C25" s="69" t="str">
        <f t="shared" si="10"/>
        <v>Triples</v>
      </c>
      <c r="D25" s="63">
        <f>triples!CD11</f>
        <v>1</v>
      </c>
      <c r="E25" s="63">
        <f>triples!CE11</f>
        <v>41</v>
      </c>
      <c r="F25" s="95">
        <f>triples!CF11</f>
        <v>103</v>
      </c>
      <c r="X25" s="60"/>
    </row>
    <row r="26" spans="1:24" s="58" customFormat="1" ht="15.75">
      <c r="A26" s="94"/>
      <c r="B26" s="60"/>
      <c r="C26" s="69" t="str">
        <f t="shared" si="10"/>
        <v>Fours</v>
      </c>
      <c r="D26" s="63">
        <f>fours!CD11</f>
        <v>10</v>
      </c>
      <c r="E26" s="63">
        <f>fours!CE11</f>
        <v>76</v>
      </c>
      <c r="F26" s="95">
        <f>fours!CF11</f>
        <v>68</v>
      </c>
      <c r="X26" s="60"/>
    </row>
    <row r="27" spans="1:24" s="58" customFormat="1" ht="15.75">
      <c r="A27" s="96"/>
      <c r="B27" s="72"/>
      <c r="C27" s="97" t="str">
        <f t="shared" si="10"/>
        <v>Total</v>
      </c>
      <c r="D27" s="98">
        <f>SUM(D23:D26)</f>
        <v>35</v>
      </c>
      <c r="E27" s="98">
        <f>SUM(E23:E26)</f>
        <v>283</v>
      </c>
      <c r="F27" s="99">
        <f>SUM(F23:F26)</f>
        <v>280</v>
      </c>
      <c r="X27" s="60"/>
    </row>
    <row r="28" spans="1:24" s="58" customFormat="1" ht="15.75">
      <c r="A28" s="90">
        <v>5</v>
      </c>
      <c r="B28" s="70" t="s">
        <v>51</v>
      </c>
      <c r="C28" s="91" t="str">
        <f t="shared" si="10"/>
        <v>Singles</v>
      </c>
      <c r="D28" s="92">
        <f>singles!CD12</f>
        <v>6</v>
      </c>
      <c r="E28" s="92">
        <f>singles!CE12</f>
        <v>63</v>
      </c>
      <c r="F28" s="93">
        <f>singles!CF12</f>
        <v>72</v>
      </c>
      <c r="X28" s="60"/>
    </row>
    <row r="29" spans="1:24" s="58" customFormat="1" ht="15.75">
      <c r="A29" s="94"/>
      <c r="B29" s="60"/>
      <c r="C29" s="69" t="str">
        <f t="shared" si="10"/>
        <v>Pairs</v>
      </c>
      <c r="D29" s="63">
        <f>pairs!CD12</f>
        <v>8</v>
      </c>
      <c r="E29" s="63">
        <f>pairs!CE12</f>
        <v>60</v>
      </c>
      <c r="F29" s="95">
        <f>pairs!CF12</f>
        <v>75</v>
      </c>
      <c r="X29" s="60"/>
    </row>
    <row r="30" spans="1:24" s="58" customFormat="1" ht="15.75">
      <c r="A30" s="94"/>
      <c r="B30" s="60"/>
      <c r="C30" s="69" t="str">
        <f t="shared" si="10"/>
        <v>Triples</v>
      </c>
      <c r="D30" s="63">
        <f>triples!CD12</f>
        <v>6</v>
      </c>
      <c r="E30" s="63">
        <f>triples!CE12</f>
        <v>65</v>
      </c>
      <c r="F30" s="95">
        <f>triples!CF12</f>
        <v>82</v>
      </c>
      <c r="X30" s="60"/>
    </row>
    <row r="31" spans="1:24" s="58" customFormat="1" ht="15.75">
      <c r="A31" s="94"/>
      <c r="B31" s="60"/>
      <c r="C31" s="69" t="str">
        <f t="shared" si="10"/>
        <v>Fours</v>
      </c>
      <c r="D31" s="63">
        <f>fours!CD12</f>
        <v>10</v>
      </c>
      <c r="E31" s="63">
        <f>fours!CE12</f>
        <v>78</v>
      </c>
      <c r="F31" s="95">
        <f>fours!CF12</f>
        <v>53</v>
      </c>
      <c r="X31" s="60"/>
    </row>
    <row r="32" spans="1:24" s="58" customFormat="1" ht="15.75">
      <c r="A32" s="96"/>
      <c r="B32" s="72"/>
      <c r="C32" s="97" t="str">
        <f t="shared" si="10"/>
        <v>Total</v>
      </c>
      <c r="D32" s="98">
        <f>SUM(D28:D31)</f>
        <v>30</v>
      </c>
      <c r="E32" s="98">
        <f>SUM(E28:E31)</f>
        <v>266</v>
      </c>
      <c r="F32" s="99">
        <f>SUM(F28:F31)</f>
        <v>282</v>
      </c>
      <c r="X32" s="60"/>
    </row>
    <row r="33" spans="1:24" s="58" customFormat="1" ht="15.75">
      <c r="A33" s="90">
        <v>6</v>
      </c>
      <c r="B33" s="70" t="s">
        <v>52</v>
      </c>
      <c r="C33" s="91" t="str">
        <f t="shared" si="10"/>
        <v>Singles</v>
      </c>
      <c r="D33" s="92">
        <f>singles!CD13</f>
        <v>2</v>
      </c>
      <c r="E33" s="92">
        <f>singles!CE13</f>
        <v>32</v>
      </c>
      <c r="F33" s="93">
        <f>singles!CF13</f>
        <v>109</v>
      </c>
      <c r="X33" s="60"/>
    </row>
    <row r="34" spans="1:24" s="58" customFormat="1" ht="15.75">
      <c r="A34" s="94"/>
      <c r="B34" s="60"/>
      <c r="C34" s="69" t="str">
        <f t="shared" si="10"/>
        <v>Pairs</v>
      </c>
      <c r="D34" s="63">
        <f>pairs!CD13</f>
        <v>5</v>
      </c>
      <c r="E34" s="63">
        <f>pairs!CE13</f>
        <v>60</v>
      </c>
      <c r="F34" s="95">
        <f>pairs!CF13</f>
        <v>80</v>
      </c>
      <c r="X34" s="60"/>
    </row>
    <row r="35" spans="1:24" s="58" customFormat="1" ht="15.75">
      <c r="A35" s="94"/>
      <c r="B35" s="60"/>
      <c r="C35" s="69" t="str">
        <f t="shared" si="10"/>
        <v>Triples</v>
      </c>
      <c r="D35" s="63">
        <f>triples!CD13</f>
        <v>7</v>
      </c>
      <c r="E35" s="63">
        <f>triples!CE13</f>
        <v>51</v>
      </c>
      <c r="F35" s="95">
        <f>triples!CF13</f>
        <v>85</v>
      </c>
      <c r="X35" s="60"/>
    </row>
    <row r="36" spans="1:24" s="58" customFormat="1" ht="15.75">
      <c r="A36" s="94"/>
      <c r="B36" s="60"/>
      <c r="C36" s="69" t="str">
        <f t="shared" si="10"/>
        <v>Fours</v>
      </c>
      <c r="D36" s="63">
        <f>fours!CD13</f>
        <v>0</v>
      </c>
      <c r="E36" s="63">
        <f>fours!CE13</f>
        <v>43</v>
      </c>
      <c r="F36" s="95">
        <f>fours!CF13</f>
        <v>133</v>
      </c>
      <c r="X36" s="60"/>
    </row>
    <row r="37" spans="1:24" s="58" customFormat="1" ht="15.75">
      <c r="A37" s="96"/>
      <c r="B37" s="72"/>
      <c r="C37" s="97" t="str">
        <f t="shared" si="10"/>
        <v>Total</v>
      </c>
      <c r="D37" s="98">
        <f>SUM(D33:D36)</f>
        <v>14</v>
      </c>
      <c r="E37" s="98">
        <f>SUM(E33:E36)</f>
        <v>186</v>
      </c>
      <c r="F37" s="99">
        <f>SUM(F33:F36)</f>
        <v>407</v>
      </c>
      <c r="X37" s="60"/>
    </row>
    <row r="38" spans="1:24" s="58" customFormat="1" ht="15.75">
      <c r="A38" s="90">
        <v>7</v>
      </c>
      <c r="B38" s="70" t="s">
        <v>53</v>
      </c>
      <c r="C38" s="91" t="str">
        <f t="shared" si="10"/>
        <v>Singles</v>
      </c>
      <c r="D38" s="92">
        <f>singles!CD14</f>
        <v>10</v>
      </c>
      <c r="E38" s="92">
        <f>singles!CE14</f>
        <v>70</v>
      </c>
      <c r="F38" s="93">
        <f>singles!CF14</f>
        <v>66</v>
      </c>
      <c r="X38" s="60"/>
    </row>
    <row r="39" spans="1:24" s="58" customFormat="1" ht="15.75">
      <c r="A39" s="94"/>
      <c r="B39" s="60"/>
      <c r="C39" s="69" t="str">
        <f t="shared" si="10"/>
        <v>Pairs</v>
      </c>
      <c r="D39" s="63">
        <f>pairs!CD14</f>
        <v>5</v>
      </c>
      <c r="E39" s="63">
        <f>pairs!CE14</f>
        <v>59</v>
      </c>
      <c r="F39" s="95">
        <f>pairs!CF14</f>
        <v>83</v>
      </c>
      <c r="X39" s="60"/>
    </row>
    <row r="40" spans="1:24" s="58" customFormat="1" ht="15.75">
      <c r="A40" s="94"/>
      <c r="B40" s="60"/>
      <c r="C40" s="69" t="str">
        <f t="shared" si="10"/>
        <v>Triples</v>
      </c>
      <c r="D40" s="63">
        <f>triples!CD14</f>
        <v>14</v>
      </c>
      <c r="E40" s="63">
        <f>triples!CE14</f>
        <v>95</v>
      </c>
      <c r="F40" s="95">
        <f>triples!CF14</f>
        <v>59</v>
      </c>
      <c r="X40" s="60"/>
    </row>
    <row r="41" spans="1:24" s="58" customFormat="1" ht="15.75">
      <c r="A41" s="94"/>
      <c r="B41" s="60"/>
      <c r="C41" s="69" t="str">
        <f t="shared" si="10"/>
        <v>Fours</v>
      </c>
      <c r="D41" s="63">
        <f>fours!CD14</f>
        <v>17</v>
      </c>
      <c r="E41" s="63">
        <f>fours!CE14</f>
        <v>99</v>
      </c>
      <c r="F41" s="95">
        <f>fours!CF14</f>
        <v>43</v>
      </c>
      <c r="X41" s="60"/>
    </row>
    <row r="42" spans="1:24" s="58" customFormat="1" ht="15.75">
      <c r="A42" s="96"/>
      <c r="B42" s="72"/>
      <c r="C42" s="97" t="str">
        <f t="shared" si="10"/>
        <v>Total</v>
      </c>
      <c r="D42" s="98">
        <f>SUM(D38:D41)</f>
        <v>46</v>
      </c>
      <c r="E42" s="98">
        <f>SUM(E38:E41)</f>
        <v>323</v>
      </c>
      <c r="F42" s="99">
        <f>SUM(F38:F41)</f>
        <v>251</v>
      </c>
      <c r="X42" s="60"/>
    </row>
    <row r="43" spans="1:24" s="58" customFormat="1" ht="15.75">
      <c r="A43" s="90">
        <v>8</v>
      </c>
      <c r="B43" s="70" t="s">
        <v>73</v>
      </c>
      <c r="C43" s="91" t="str">
        <f t="shared" si="10"/>
        <v>Singles</v>
      </c>
      <c r="D43" s="92">
        <f>singles!CD15</f>
        <v>6</v>
      </c>
      <c r="E43" s="92">
        <f>singles!CE15</f>
        <v>52</v>
      </c>
      <c r="F43" s="93">
        <f>singles!CF15</f>
        <v>75</v>
      </c>
      <c r="X43" s="60"/>
    </row>
    <row r="44" spans="1:24" s="58" customFormat="1" ht="15.75">
      <c r="A44" s="94"/>
      <c r="B44" s="60"/>
      <c r="C44" s="69" t="str">
        <f t="shared" si="10"/>
        <v>Pairs</v>
      </c>
      <c r="D44" s="63">
        <f>pairs!CD15</f>
        <v>2</v>
      </c>
      <c r="E44" s="63">
        <f>pairs!CE15</f>
        <v>49</v>
      </c>
      <c r="F44" s="95">
        <f>pairs!CF15</f>
        <v>98</v>
      </c>
      <c r="X44" s="60"/>
    </row>
    <row r="45" spans="1:24" s="58" customFormat="1" ht="15.75">
      <c r="A45" s="94"/>
      <c r="B45" s="60"/>
      <c r="C45" s="69" t="str">
        <f t="shared" si="10"/>
        <v>Triples</v>
      </c>
      <c r="D45" s="63">
        <f>triples!CD15</f>
        <v>6</v>
      </c>
      <c r="E45" s="63">
        <f>triples!CE15</f>
        <v>57</v>
      </c>
      <c r="F45" s="95">
        <f>triples!CF15</f>
        <v>85</v>
      </c>
      <c r="X45" s="60"/>
    </row>
    <row r="46" spans="1:24" s="58" customFormat="1" ht="15.75">
      <c r="A46" s="94"/>
      <c r="B46" s="60"/>
      <c r="C46" s="69" t="str">
        <f t="shared" si="10"/>
        <v>Fours</v>
      </c>
      <c r="D46" s="63">
        <f>fours!CD15</f>
        <v>2</v>
      </c>
      <c r="E46" s="63">
        <f>fours!CE15</f>
        <v>43</v>
      </c>
      <c r="F46" s="95">
        <f>fours!CF15</f>
        <v>101</v>
      </c>
      <c r="X46" s="60"/>
    </row>
    <row r="47" spans="1:24" s="58" customFormat="1" ht="15.75">
      <c r="A47" s="96"/>
      <c r="B47" s="72"/>
      <c r="C47" s="97" t="str">
        <f t="shared" si="10"/>
        <v>Total</v>
      </c>
      <c r="D47" s="98">
        <f>SUM(D43:D46)</f>
        <v>16</v>
      </c>
      <c r="E47" s="98">
        <f>SUM(E43:E46)</f>
        <v>201</v>
      </c>
      <c r="F47" s="99">
        <f>SUM(F43:F46)</f>
        <v>359</v>
      </c>
      <c r="X47" s="60"/>
    </row>
    <row r="48" spans="1:24" s="58" customFormat="1" ht="15.75">
      <c r="A48" s="90">
        <v>9</v>
      </c>
      <c r="B48" s="70" t="s">
        <v>54</v>
      </c>
      <c r="C48" s="91" t="str">
        <f t="shared" si="10"/>
        <v>Singles</v>
      </c>
      <c r="D48" s="92">
        <f>singles!CD16</f>
        <v>12</v>
      </c>
      <c r="E48" s="92">
        <f>singles!CE16</f>
        <v>78</v>
      </c>
      <c r="F48" s="93">
        <f>singles!CF16</f>
        <v>55</v>
      </c>
      <c r="X48" s="60"/>
    </row>
    <row r="49" spans="1:24" s="58" customFormat="1" ht="15.75">
      <c r="A49" s="94"/>
      <c r="B49" s="60"/>
      <c r="C49" s="69" t="str">
        <f t="shared" si="10"/>
        <v>Pairs</v>
      </c>
      <c r="D49" s="63">
        <f>pairs!CD16</f>
        <v>13</v>
      </c>
      <c r="E49" s="63">
        <f>pairs!CE16</f>
        <v>80</v>
      </c>
      <c r="F49" s="95">
        <f>pairs!CF16</f>
        <v>59</v>
      </c>
      <c r="X49" s="60"/>
    </row>
    <row r="50" spans="1:24" s="58" customFormat="1" ht="15.75">
      <c r="A50" s="94"/>
      <c r="B50" s="60"/>
      <c r="C50" s="69" t="str">
        <f t="shared" si="10"/>
        <v>Triples</v>
      </c>
      <c r="D50" s="63">
        <f>triples!CD16</f>
        <v>13</v>
      </c>
      <c r="E50" s="63">
        <f>triples!CE16</f>
        <v>95</v>
      </c>
      <c r="F50" s="95">
        <f>triples!CF16</f>
        <v>43</v>
      </c>
      <c r="X50" s="60"/>
    </row>
    <row r="51" spans="1:24" s="58" customFormat="1" ht="15.75">
      <c r="A51" s="94"/>
      <c r="B51" s="60"/>
      <c r="C51" s="69" t="str">
        <f t="shared" si="10"/>
        <v>Fours</v>
      </c>
      <c r="D51" s="63">
        <f>fours!CD16</f>
        <v>8</v>
      </c>
      <c r="E51" s="63">
        <f>fours!CE16</f>
        <v>71</v>
      </c>
      <c r="F51" s="95">
        <f>fours!CF16</f>
        <v>64</v>
      </c>
      <c r="X51" s="60"/>
    </row>
    <row r="52" spans="1:24" s="58" customFormat="1" ht="15.75">
      <c r="A52" s="96"/>
      <c r="B52" s="72"/>
      <c r="C52" s="97" t="str">
        <f t="shared" si="10"/>
        <v>Total</v>
      </c>
      <c r="D52" s="98">
        <f>SUM(D48:D51)</f>
        <v>46</v>
      </c>
      <c r="E52" s="98">
        <f>SUM(E48:E51)</f>
        <v>324</v>
      </c>
      <c r="F52" s="99">
        <f>SUM(F48:F51)</f>
        <v>221</v>
      </c>
      <c r="X52" s="60"/>
    </row>
    <row r="53" spans="1:24" s="58" customFormat="1" ht="15.75">
      <c r="A53" s="90">
        <v>10</v>
      </c>
      <c r="B53" s="70" t="s">
        <v>55</v>
      </c>
      <c r="C53" s="91" t="str">
        <f t="shared" si="10"/>
        <v>Singles</v>
      </c>
      <c r="D53" s="92">
        <f>singles!CD17</f>
        <v>9</v>
      </c>
      <c r="E53" s="92">
        <f>singles!CE17</f>
        <v>71</v>
      </c>
      <c r="F53" s="93">
        <f>singles!CF17</f>
        <v>60</v>
      </c>
      <c r="X53" s="60"/>
    </row>
    <row r="54" spans="1:24" s="58" customFormat="1" ht="15.75">
      <c r="A54" s="94"/>
      <c r="B54" s="60"/>
      <c r="C54" s="69" t="str">
        <f t="shared" si="10"/>
        <v>Pairs</v>
      </c>
      <c r="D54" s="63">
        <f>pairs!CD17</f>
        <v>11</v>
      </c>
      <c r="E54" s="63">
        <f>pairs!CE17</f>
        <v>81</v>
      </c>
      <c r="F54" s="95">
        <f>pairs!CF17</f>
        <v>52</v>
      </c>
      <c r="X54" s="60"/>
    </row>
    <row r="55" spans="1:24" s="58" customFormat="1" ht="15.75">
      <c r="A55" s="94"/>
      <c r="B55" s="60"/>
      <c r="C55" s="69" t="str">
        <f t="shared" si="10"/>
        <v>Triples</v>
      </c>
      <c r="D55" s="63">
        <f>triples!CD17</f>
        <v>8</v>
      </c>
      <c r="E55" s="63">
        <f>triples!CE17</f>
        <v>57</v>
      </c>
      <c r="F55" s="95">
        <f>triples!CF17</f>
        <v>76</v>
      </c>
      <c r="X55" s="60"/>
    </row>
    <row r="56" spans="1:6" s="60" customFormat="1" ht="15.75">
      <c r="A56" s="94"/>
      <c r="C56" s="69" t="str">
        <f t="shared" si="10"/>
        <v>Fours</v>
      </c>
      <c r="D56" s="63">
        <f>fours!CD17</f>
        <v>17</v>
      </c>
      <c r="E56" s="63">
        <f>fours!CE17</f>
        <v>96</v>
      </c>
      <c r="F56" s="95">
        <f>fours!CF17</f>
        <v>43</v>
      </c>
    </row>
    <row r="57" spans="1:6" s="60" customFormat="1" ht="15.75">
      <c r="A57" s="96"/>
      <c r="B57" s="72"/>
      <c r="C57" s="97" t="str">
        <f>C52</f>
        <v>Total</v>
      </c>
      <c r="D57" s="98">
        <f>SUM(D53:D56)</f>
        <v>45</v>
      </c>
      <c r="E57" s="98">
        <f>SUM(E53:E56)</f>
        <v>305</v>
      </c>
      <c r="F57" s="99">
        <f>SUM(F53:F56)</f>
        <v>231</v>
      </c>
    </row>
    <row r="58" spans="3:6" s="60" customFormat="1" ht="15.75">
      <c r="C58" s="69"/>
      <c r="D58" s="63"/>
      <c r="E58" s="63"/>
      <c r="F58" s="66"/>
    </row>
    <row r="59" spans="3:6" s="60" customFormat="1" ht="15.75">
      <c r="C59" s="69"/>
      <c r="D59" s="63"/>
      <c r="E59" s="63"/>
      <c r="F59" s="63"/>
    </row>
    <row r="60" spans="3:6" s="60" customFormat="1" ht="15.75">
      <c r="C60" s="69"/>
      <c r="D60" s="63"/>
      <c r="E60" s="63"/>
      <c r="F60" s="63"/>
    </row>
    <row r="61" spans="3:6" s="60" customFormat="1" ht="15.75">
      <c r="C61" s="69"/>
      <c r="D61" s="63"/>
      <c r="E61" s="63"/>
      <c r="F61" s="66"/>
    </row>
    <row r="62" spans="3:6" s="60" customFormat="1" ht="15.75">
      <c r="C62" s="69"/>
      <c r="D62" s="63"/>
      <c r="E62" s="63"/>
      <c r="F62" s="63"/>
    </row>
    <row r="63" spans="3:6" s="60" customFormat="1" ht="15.75">
      <c r="C63" s="69"/>
      <c r="D63" s="63"/>
      <c r="E63" s="63"/>
      <c r="F63" s="63"/>
    </row>
    <row r="64" spans="3:6" s="60" customFormat="1" ht="15.75">
      <c r="C64" s="69"/>
      <c r="D64" s="63"/>
      <c r="E64" s="63"/>
      <c r="F64" s="66"/>
    </row>
    <row r="65" spans="3:6" s="60" customFormat="1" ht="15.75">
      <c r="C65" s="69"/>
      <c r="D65" s="63"/>
      <c r="E65" s="63"/>
      <c r="F65" s="63"/>
    </row>
    <row r="66" spans="3:6" s="60" customFormat="1" ht="15.75">
      <c r="C66" s="69"/>
      <c r="D66" s="63"/>
      <c r="E66" s="63"/>
      <c r="F66" s="63"/>
    </row>
  </sheetData>
  <sheetProtection sheet="1" objects="1" scenarios="1" selectLockedCells="1"/>
  <mergeCells count="3">
    <mergeCell ref="Q6:U6"/>
    <mergeCell ref="A2:F4"/>
    <mergeCell ref="Q2:X4"/>
  </mergeCells>
  <conditionalFormatting sqref="U8:U17">
    <cfRule type="duplicateValues" priority="1" dxfId="0" stopIfTrue="1">
      <formula>AND(COUNTIF($U$8:$U$17,U8)&gt;1,NOT(ISBLANK(U8)))</formula>
    </cfRule>
  </conditionalFormatting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Paul</cp:lastModifiedBy>
  <cp:lastPrinted>2011-06-12T14:30:45Z</cp:lastPrinted>
  <dcterms:created xsi:type="dcterms:W3CDTF">2010-05-14T09:40:31Z</dcterms:created>
  <dcterms:modified xsi:type="dcterms:W3CDTF">2011-06-17T10:20:03Z</dcterms:modified>
  <cp:category/>
  <cp:version/>
  <cp:contentType/>
  <cp:contentStatus/>
</cp:coreProperties>
</file>